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120" yWindow="-120" windowWidth="20730" windowHeight="11040" tabRatio="639" activeTab="8"/>
  </bookViews>
  <sheets>
    <sheet name="Checklist" sheetId="57" r:id="rId1"/>
    <sheet name="F1" sheetId="58" r:id="rId2"/>
    <sheet name="F2" sheetId="66" r:id="rId3"/>
    <sheet name="F2.1" sheetId="67" r:id="rId4"/>
    <sheet name="F2.2" sheetId="68" r:id="rId5"/>
    <sheet name="F2.3" sheetId="69" r:id="rId6"/>
    <sheet name="F3" sheetId="93" r:id="rId7"/>
    <sheet name="F3.1" sheetId="112" r:id="rId8"/>
    <sheet name="F3.2" sheetId="109" r:id="rId9"/>
    <sheet name="F4" sheetId="102" r:id="rId10"/>
    <sheet name="F5" sheetId="103" r:id="rId11"/>
    <sheet name="F6" sheetId="104" r:id="rId12"/>
    <sheet name="F7" sheetId="105" r:id="rId13"/>
    <sheet name="F8" sheetId="106" r:id="rId14"/>
    <sheet name="F9" sheetId="64" r:id="rId15"/>
    <sheet name="F10" sheetId="81" r:id="rId16"/>
    <sheet name="F11" sheetId="107" r:id="rId17"/>
    <sheet name="F11.1" sheetId="111" r:id="rId18"/>
    <sheet name="F12" sheetId="110" r:id="rId19"/>
    <sheet name="F13" sheetId="71" r:id="rId20"/>
    <sheet name="F15" sheetId="91" r:id="rId21"/>
  </sheets>
  <externalReferences>
    <externalReference r:id="rId22"/>
    <externalReference r:id="rId23"/>
    <externalReference r:id="rId24"/>
  </externalReferences>
  <definedNames>
    <definedName name="__123Graph_A" localSheetId="6" hidden="1">[1]CE!#REF!</definedName>
    <definedName name="__123Graph_A" localSheetId="9" hidden="1">[1]CE!#REF!</definedName>
    <definedName name="__123Graph_A" localSheetId="10" hidden="1">[1]CE!#REF!</definedName>
    <definedName name="__123Graph_A" localSheetId="11" hidden="1">[1]CE!#REF!</definedName>
    <definedName name="__123Graph_A" localSheetId="12" hidden="1">[1]CE!#REF!</definedName>
    <definedName name="__123Graph_A" localSheetId="13" hidden="1">[1]CE!#REF!</definedName>
    <definedName name="__123Graph_A" hidden="1">[1]CE!#REF!</definedName>
    <definedName name="__123Graph_ASTNPLF" localSheetId="6" hidden="1">[1]CE!#REF!</definedName>
    <definedName name="__123Graph_ASTNPLF" localSheetId="9" hidden="1">[1]CE!#REF!</definedName>
    <definedName name="__123Graph_ASTNPLF" localSheetId="10" hidden="1">[1]CE!#REF!</definedName>
    <definedName name="__123Graph_ASTNPLF" localSheetId="11" hidden="1">[1]CE!#REF!</definedName>
    <definedName name="__123Graph_ASTNPLF" localSheetId="12" hidden="1">[1]CE!#REF!</definedName>
    <definedName name="__123Graph_ASTNPLF" localSheetId="13" hidden="1">[1]CE!#REF!</definedName>
    <definedName name="__123Graph_ASTNPLF" hidden="1">[1]CE!#REF!</definedName>
    <definedName name="__123Graph_B" localSheetId="6" hidden="1">[1]CE!#REF!</definedName>
    <definedName name="__123Graph_B" localSheetId="9" hidden="1">[1]CE!#REF!</definedName>
    <definedName name="__123Graph_B" localSheetId="10" hidden="1">[1]CE!#REF!</definedName>
    <definedName name="__123Graph_B" localSheetId="11" hidden="1">[1]CE!#REF!</definedName>
    <definedName name="__123Graph_B" localSheetId="12" hidden="1">[1]CE!#REF!</definedName>
    <definedName name="__123Graph_B" localSheetId="13" hidden="1">[1]CE!#REF!</definedName>
    <definedName name="__123Graph_B" hidden="1">[1]CE!#REF!</definedName>
    <definedName name="__123Graph_BSTNPLF" localSheetId="6" hidden="1">[1]CE!#REF!</definedName>
    <definedName name="__123Graph_BSTNPLF" localSheetId="9" hidden="1">[1]CE!#REF!</definedName>
    <definedName name="__123Graph_BSTNPLF" localSheetId="10" hidden="1">[1]CE!#REF!</definedName>
    <definedName name="__123Graph_BSTNPLF" localSheetId="11" hidden="1">[1]CE!#REF!</definedName>
    <definedName name="__123Graph_BSTNPLF" localSheetId="12" hidden="1">[1]CE!#REF!</definedName>
    <definedName name="__123Graph_BSTNPLF" localSheetId="13" hidden="1">[1]CE!#REF!</definedName>
    <definedName name="__123Graph_BSTNPLF" hidden="1">[1]CE!#REF!</definedName>
    <definedName name="__123Graph_C" localSheetId="6" hidden="1">[1]CE!#REF!</definedName>
    <definedName name="__123Graph_C" localSheetId="9" hidden="1">[1]CE!#REF!</definedName>
    <definedName name="__123Graph_C" localSheetId="10" hidden="1">[1]CE!#REF!</definedName>
    <definedName name="__123Graph_C" localSheetId="11" hidden="1">[1]CE!#REF!</definedName>
    <definedName name="__123Graph_C" localSheetId="12" hidden="1">[1]CE!#REF!</definedName>
    <definedName name="__123Graph_C" localSheetId="13" hidden="1">[1]CE!#REF!</definedName>
    <definedName name="__123Graph_C" hidden="1">[1]CE!#REF!</definedName>
    <definedName name="__123Graph_CSTNPLF" localSheetId="6" hidden="1">[1]CE!#REF!</definedName>
    <definedName name="__123Graph_CSTNPLF" localSheetId="9" hidden="1">[1]CE!#REF!</definedName>
    <definedName name="__123Graph_CSTNPLF" localSheetId="10" hidden="1">[1]CE!#REF!</definedName>
    <definedName name="__123Graph_CSTNPLF" localSheetId="11" hidden="1">[1]CE!#REF!</definedName>
    <definedName name="__123Graph_CSTNPLF" localSheetId="12" hidden="1">[1]CE!#REF!</definedName>
    <definedName name="__123Graph_CSTNPLF" localSheetId="13" hidden="1">[1]CE!#REF!</definedName>
    <definedName name="__123Graph_CSTNPLF" hidden="1">[1]CE!#REF!</definedName>
    <definedName name="__123Graph_X" localSheetId="6" hidden="1">[1]CE!#REF!</definedName>
    <definedName name="__123Graph_X" localSheetId="9" hidden="1">[1]CE!#REF!</definedName>
    <definedName name="__123Graph_X" localSheetId="10" hidden="1">[1]CE!#REF!</definedName>
    <definedName name="__123Graph_X" localSheetId="11" hidden="1">[1]CE!#REF!</definedName>
    <definedName name="__123Graph_X" localSheetId="12" hidden="1">[1]CE!#REF!</definedName>
    <definedName name="__123Graph_X" localSheetId="13" hidden="1">[1]CE!#REF!</definedName>
    <definedName name="__123Graph_X" hidden="1">[1]CE!#REF!</definedName>
    <definedName name="__123Graph_XSTNPLF" localSheetId="6" hidden="1">[1]CE!#REF!</definedName>
    <definedName name="__123Graph_XSTNPLF" localSheetId="9" hidden="1">[1]CE!#REF!</definedName>
    <definedName name="__123Graph_XSTNPLF" localSheetId="10" hidden="1">[1]CE!#REF!</definedName>
    <definedName name="__123Graph_XSTNPLF" localSheetId="11" hidden="1">[1]CE!#REF!</definedName>
    <definedName name="__123Graph_XSTNPLF" localSheetId="12" hidden="1">[1]CE!#REF!</definedName>
    <definedName name="__123Graph_XSTNPLF" localSheetId="13" hidden="1">[1]CE!#REF!</definedName>
    <definedName name="__123Graph_XSTNPLF" hidden="1">[1]CE!#REF!</definedName>
    <definedName name="_Fill" localSheetId="6"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hidden="1">#REF!</definedName>
    <definedName name="_Order1" hidden="1">255</definedName>
    <definedName name="new" localSheetId="6" hidden="1">[2]CE!#REF!</definedName>
    <definedName name="new" localSheetId="9" hidden="1">[2]CE!#REF!</definedName>
    <definedName name="new" localSheetId="10" hidden="1">[2]CE!#REF!</definedName>
    <definedName name="new" localSheetId="11" hidden="1">[2]CE!#REF!</definedName>
    <definedName name="new" localSheetId="12" hidden="1">[2]CE!#REF!</definedName>
    <definedName name="new" localSheetId="13" hidden="1">[2]CE!#REF!</definedName>
    <definedName name="new" hidden="1">[2]CE!#REF!</definedName>
    <definedName name="_xlnm.Print_Area" localSheetId="0">Checklist!$A$1:$E$26</definedName>
    <definedName name="_xlnm.Print_Area" localSheetId="12">'F7'!$B$2:$J$23</definedName>
    <definedName name="xxxx" localSheetId="6" hidden="1">[3]CE!#REF!</definedName>
    <definedName name="xxxx" localSheetId="9" hidden="1">[3]CE!#REF!</definedName>
    <definedName name="xxxx" localSheetId="10" hidden="1">[3]CE!#REF!</definedName>
    <definedName name="xxxx" localSheetId="11" hidden="1">[3]CE!#REF!</definedName>
    <definedName name="xxxx" localSheetId="12" hidden="1">[3]CE!#REF!</definedName>
    <definedName name="xxxx" localSheetId="13" hidden="1">[3]CE!#REF!</definedName>
    <definedName name="xxxx" hidden="1">[3]CE!#REF!</definedName>
  </definedNames>
  <calcPr calcId="144525" iterate="1" iterateCount="10000"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12" l="1"/>
  <c r="H14" i="112"/>
  <c r="G14" i="112"/>
  <c r="F10" i="112"/>
  <c r="H9" i="112"/>
  <c r="H8" i="112"/>
  <c r="H10" i="112" s="1"/>
  <c r="I27" i="81" l="1"/>
  <c r="K24" i="102" l="1"/>
  <c r="P24" i="91"/>
  <c r="P30" i="91" s="1"/>
  <c r="P22" i="91"/>
  <c r="P21" i="91"/>
  <c r="P20" i="91"/>
  <c r="P18" i="91"/>
  <c r="P15" i="91"/>
  <c r="P14" i="91"/>
  <c r="P13" i="91"/>
  <c r="A8" i="91"/>
  <c r="A9" i="91" s="1"/>
  <c r="A10" i="91" s="1"/>
  <c r="A11" i="91" s="1"/>
  <c r="A12" i="91" s="1"/>
  <c r="A13" i="91" s="1"/>
  <c r="A14" i="91" s="1"/>
  <c r="A15" i="91" s="1"/>
  <c r="A16" i="91" s="1"/>
  <c r="A17" i="91" s="1"/>
  <c r="A18" i="91" s="1"/>
  <c r="A19" i="91" s="1"/>
  <c r="A20" i="91" s="1"/>
  <c r="A21" i="91" s="1"/>
  <c r="A22" i="91" s="1"/>
  <c r="A23" i="91" s="1"/>
  <c r="A24" i="91" s="1"/>
  <c r="A25" i="91" s="1"/>
  <c r="A30" i="91" s="1"/>
  <c r="A31" i="91" s="1"/>
  <c r="F9" i="109" l="1"/>
  <c r="D9" i="109"/>
  <c r="E18" i="69"/>
  <c r="F18" i="69"/>
  <c r="D18" i="69"/>
  <c r="K31" i="102" l="1"/>
  <c r="G44" i="102"/>
  <c r="H44" i="102"/>
  <c r="K44" i="102"/>
  <c r="L44" i="102"/>
  <c r="G31" i="102"/>
  <c r="H31" i="102"/>
  <c r="L31" i="102"/>
  <c r="G18" i="102"/>
  <c r="H18" i="102"/>
  <c r="J18" i="102"/>
  <c r="K18" i="102"/>
  <c r="L18" i="102"/>
  <c r="F18" i="102"/>
  <c r="L19" i="58"/>
  <c r="K19" i="58" s="1"/>
  <c r="J19" i="58"/>
  <c r="I19" i="58" s="1"/>
  <c r="E14" i="110"/>
  <c r="G36" i="81"/>
  <c r="G32" i="81"/>
  <c r="B39" i="81"/>
  <c r="B40" i="81" s="1"/>
  <c r="B35" i="81"/>
  <c r="B36" i="81" s="1"/>
  <c r="B31" i="81"/>
  <c r="B32" i="81" s="1"/>
  <c r="K28" i="81"/>
  <c r="K27" i="81" s="1"/>
  <c r="F28" i="81"/>
  <c r="F27" i="81" s="1"/>
  <c r="B25" i="81"/>
  <c r="B26" i="81" s="1"/>
  <c r="B27" i="81" s="1"/>
  <c r="B28" i="81" s="1"/>
  <c r="G22" i="81"/>
  <c r="G21" i="81"/>
  <c r="G28" i="81" s="1"/>
  <c r="B21" i="81"/>
  <c r="B22" i="81" s="1"/>
  <c r="B17" i="81"/>
  <c r="B18" i="81" s="1"/>
  <c r="B13" i="81"/>
  <c r="B14" i="81" s="1"/>
  <c r="F26" i="81" l="1"/>
  <c r="G26" i="81" s="1"/>
  <c r="G27" i="81"/>
  <c r="N31" i="71"/>
  <c r="M31" i="71"/>
  <c r="L31" i="71"/>
  <c r="K31" i="71"/>
  <c r="J31" i="71"/>
  <c r="I31" i="71"/>
  <c r="H31" i="71"/>
  <c r="G31" i="71"/>
  <c r="F31" i="71"/>
  <c r="E31" i="71"/>
  <c r="D31" i="71"/>
  <c r="C31" i="71"/>
  <c r="N29" i="71"/>
  <c r="N33" i="71" s="1"/>
  <c r="M29" i="71"/>
  <c r="M33" i="71" s="1"/>
  <c r="L29" i="71"/>
  <c r="L33" i="71" s="1"/>
  <c r="K29" i="71"/>
  <c r="K33" i="71" s="1"/>
  <c r="J29" i="71"/>
  <c r="J33" i="71" s="1"/>
  <c r="I29" i="71"/>
  <c r="I33" i="71" s="1"/>
  <c r="H29" i="71"/>
  <c r="H33" i="71" s="1"/>
  <c r="G29" i="71"/>
  <c r="G33" i="71" s="1"/>
  <c r="F29" i="71"/>
  <c r="F33" i="71" s="1"/>
  <c r="E29" i="71"/>
  <c r="E33" i="71" s="1"/>
  <c r="D29" i="71"/>
  <c r="D33" i="71" s="1"/>
  <c r="C29" i="71"/>
  <c r="N22" i="71"/>
  <c r="M22" i="71"/>
  <c r="L22" i="71"/>
  <c r="K22" i="71"/>
  <c r="J22" i="71"/>
  <c r="I22" i="71"/>
  <c r="H22" i="71"/>
  <c r="G22" i="71"/>
  <c r="F22" i="71"/>
  <c r="E22" i="71"/>
  <c r="D22" i="71"/>
  <c r="C22" i="71"/>
  <c r="N20" i="71"/>
  <c r="N24" i="71" s="1"/>
  <c r="M20" i="71"/>
  <c r="M24" i="71" s="1"/>
  <c r="L20" i="71"/>
  <c r="L24" i="71" s="1"/>
  <c r="K20" i="71"/>
  <c r="K24" i="71" s="1"/>
  <c r="J20" i="71"/>
  <c r="J24" i="71" s="1"/>
  <c r="I20" i="71"/>
  <c r="I24" i="71" s="1"/>
  <c r="H20" i="71"/>
  <c r="H24" i="71" s="1"/>
  <c r="G20" i="71"/>
  <c r="G24" i="71" s="1"/>
  <c r="F20" i="71"/>
  <c r="F24" i="71" s="1"/>
  <c r="E20" i="71"/>
  <c r="E24" i="71" s="1"/>
  <c r="D20" i="71"/>
  <c r="D24" i="71" s="1"/>
  <c r="C20" i="71"/>
  <c r="N12" i="71"/>
  <c r="M12" i="71"/>
  <c r="L12" i="71"/>
  <c r="K12" i="71"/>
  <c r="J12" i="71"/>
  <c r="I12" i="71"/>
  <c r="H12" i="71"/>
  <c r="G12" i="71"/>
  <c r="F12" i="71"/>
  <c r="E12" i="71"/>
  <c r="D12" i="71"/>
  <c r="C12" i="71"/>
  <c r="N10" i="71"/>
  <c r="N14" i="71" s="1"/>
  <c r="M10" i="71"/>
  <c r="M14" i="71" s="1"/>
  <c r="L10" i="71"/>
  <c r="L14" i="71" s="1"/>
  <c r="K10" i="71"/>
  <c r="K14" i="71" s="1"/>
  <c r="J10" i="71"/>
  <c r="J14" i="71" s="1"/>
  <c r="I10" i="71"/>
  <c r="I14" i="71" s="1"/>
  <c r="H10" i="71"/>
  <c r="H14" i="71" s="1"/>
  <c r="G10" i="71"/>
  <c r="G14" i="71" s="1"/>
  <c r="F10" i="71"/>
  <c r="F14" i="71" s="1"/>
  <c r="E10" i="71"/>
  <c r="E14" i="71" s="1"/>
  <c r="D10" i="71"/>
  <c r="D14" i="71" s="1"/>
  <c r="C10" i="71"/>
  <c r="O31" i="71" l="1"/>
  <c r="O12" i="71"/>
  <c r="O22" i="71"/>
  <c r="C14" i="71"/>
  <c r="O10" i="71"/>
  <c r="O14" i="71" s="1"/>
  <c r="C24" i="71"/>
  <c r="O20" i="71"/>
  <c r="O24" i="71" s="1"/>
  <c r="C33" i="71"/>
  <c r="O29" i="71"/>
  <c r="O33" i="71" s="1"/>
  <c r="AN31" i="111" l="1"/>
  <c r="AM31" i="111"/>
  <c r="AL31" i="111"/>
  <c r="AK31" i="111"/>
  <c r="AJ31" i="111"/>
  <c r="AI31" i="111"/>
  <c r="AH31" i="111"/>
  <c r="AG31" i="111"/>
  <c r="AF31" i="111"/>
  <c r="AE31" i="111"/>
  <c r="AD31" i="111"/>
  <c r="AC31" i="111"/>
  <c r="AB31" i="111"/>
  <c r="AA31" i="111"/>
  <c r="Z31" i="111"/>
  <c r="Y31" i="111"/>
  <c r="X31" i="111"/>
  <c r="W31" i="111"/>
  <c r="V31" i="111"/>
  <c r="U31" i="111"/>
  <c r="T31" i="111"/>
  <c r="S31" i="111"/>
  <c r="R31" i="111"/>
  <c r="Q31" i="111"/>
  <c r="P31" i="111"/>
  <c r="O31" i="111"/>
  <c r="N31" i="111"/>
  <c r="M31" i="111"/>
  <c r="L31" i="111"/>
  <c r="K31" i="111"/>
  <c r="J31" i="111"/>
  <c r="I31" i="111"/>
  <c r="H31" i="111"/>
  <c r="G31" i="111"/>
  <c r="F31" i="111"/>
  <c r="E31" i="111"/>
  <c r="E33" i="111" s="1"/>
  <c r="AN21" i="111"/>
  <c r="AN32" i="111" s="1"/>
  <c r="AM21" i="111"/>
  <c r="AM32" i="111" s="1"/>
  <c r="AL21" i="111"/>
  <c r="AL32" i="111" s="1"/>
  <c r="AK21" i="111"/>
  <c r="AK32" i="111" s="1"/>
  <c r="AJ21" i="111"/>
  <c r="AJ32" i="111" s="1"/>
  <c r="AI21" i="111"/>
  <c r="AI32" i="111" s="1"/>
  <c r="AH21" i="111"/>
  <c r="AH32" i="111" s="1"/>
  <c r="AG21" i="111"/>
  <c r="AG32" i="111" s="1"/>
  <c r="AF21" i="111"/>
  <c r="AF32" i="111" s="1"/>
  <c r="AE21" i="111"/>
  <c r="AE32" i="111" s="1"/>
  <c r="AD21" i="111"/>
  <c r="AD32" i="111" s="1"/>
  <c r="AC21" i="111"/>
  <c r="AC32" i="111" s="1"/>
  <c r="AB21" i="111"/>
  <c r="AB32" i="111" s="1"/>
  <c r="AA21" i="111"/>
  <c r="AA32" i="111" s="1"/>
  <c r="Z21" i="111"/>
  <c r="Z32" i="111" s="1"/>
  <c r="Y21" i="111"/>
  <c r="Y32" i="111" s="1"/>
  <c r="X21" i="111"/>
  <c r="X32" i="111" s="1"/>
  <c r="W21" i="111"/>
  <c r="W32" i="111" s="1"/>
  <c r="V21" i="111"/>
  <c r="V32" i="111" s="1"/>
  <c r="U21" i="111"/>
  <c r="U32" i="111" s="1"/>
  <c r="T21" i="111"/>
  <c r="T32" i="111" s="1"/>
  <c r="S21" i="111"/>
  <c r="S32" i="111" s="1"/>
  <c r="R21" i="111"/>
  <c r="R32" i="111" s="1"/>
  <c r="Q21" i="111"/>
  <c r="Q32" i="111" s="1"/>
  <c r="P21" i="111"/>
  <c r="P32" i="111" s="1"/>
  <c r="O21" i="111"/>
  <c r="O32" i="111" s="1"/>
  <c r="N21" i="111"/>
  <c r="N32" i="111" s="1"/>
  <c r="M21" i="111"/>
  <c r="M32" i="111" s="1"/>
  <c r="L21" i="111"/>
  <c r="L32" i="111" s="1"/>
  <c r="K21" i="111"/>
  <c r="K32" i="111" s="1"/>
  <c r="J21" i="111"/>
  <c r="J32" i="111" s="1"/>
  <c r="I21" i="111"/>
  <c r="I32" i="111" s="1"/>
  <c r="H21" i="111"/>
  <c r="H32" i="111" s="1"/>
  <c r="G21" i="111"/>
  <c r="G32" i="111" s="1"/>
  <c r="F21" i="111"/>
  <c r="F32" i="111" s="1"/>
  <c r="E21" i="111"/>
  <c r="E32" i="111" s="1"/>
  <c r="AN14" i="111"/>
  <c r="AN16" i="111" s="1"/>
  <c r="AM14" i="111"/>
  <c r="AM16" i="111" s="1"/>
  <c r="AL14" i="111"/>
  <c r="AL16" i="111" s="1"/>
  <c r="AK14" i="111"/>
  <c r="AK16" i="111" s="1"/>
  <c r="AJ14" i="111"/>
  <c r="AJ16" i="111" s="1"/>
  <c r="AI14" i="111"/>
  <c r="AI16" i="111" s="1"/>
  <c r="AH14" i="111"/>
  <c r="AH16" i="111" s="1"/>
  <c r="AG14" i="111"/>
  <c r="AG16" i="111" s="1"/>
  <c r="AF14" i="111"/>
  <c r="AF16" i="111" s="1"/>
  <c r="AE14" i="111"/>
  <c r="AE16" i="111" s="1"/>
  <c r="AD14" i="111"/>
  <c r="AD16" i="111" s="1"/>
  <c r="AC14" i="111"/>
  <c r="AC16" i="111" s="1"/>
  <c r="AB14" i="111"/>
  <c r="AB16" i="111" s="1"/>
  <c r="AA14" i="111"/>
  <c r="AA16" i="111" s="1"/>
  <c r="Z14" i="111"/>
  <c r="Z16" i="111" s="1"/>
  <c r="Y14" i="111"/>
  <c r="Y16" i="111" s="1"/>
  <c r="X14" i="111"/>
  <c r="X16" i="111" s="1"/>
  <c r="W14" i="111"/>
  <c r="W16" i="111" s="1"/>
  <c r="V14" i="111"/>
  <c r="V16" i="111" s="1"/>
  <c r="U14" i="111"/>
  <c r="U16" i="111" s="1"/>
  <c r="T14" i="111"/>
  <c r="T16" i="111" s="1"/>
  <c r="S14" i="111"/>
  <c r="S16" i="111" s="1"/>
  <c r="R14" i="111"/>
  <c r="R16" i="111" s="1"/>
  <c r="Q14" i="111"/>
  <c r="Q16" i="111" s="1"/>
  <c r="P14" i="111"/>
  <c r="P16" i="111" s="1"/>
  <c r="O14" i="111"/>
  <c r="O16" i="111" s="1"/>
  <c r="N14" i="111"/>
  <c r="N16" i="111" s="1"/>
  <c r="M14" i="111"/>
  <c r="M16" i="111" s="1"/>
  <c r="L14" i="111"/>
  <c r="L16" i="111" s="1"/>
  <c r="K14" i="111"/>
  <c r="K16" i="111" s="1"/>
  <c r="J14" i="111"/>
  <c r="J16" i="111" s="1"/>
  <c r="I14" i="111"/>
  <c r="I16" i="111" s="1"/>
  <c r="H14" i="111"/>
  <c r="H16" i="111" s="1"/>
  <c r="G14" i="111"/>
  <c r="G16" i="111" s="1"/>
  <c r="F14" i="111"/>
  <c r="F16" i="111" s="1"/>
  <c r="E14" i="111"/>
  <c r="E16" i="111" s="1"/>
  <c r="B50" i="107"/>
  <c r="B51" i="107" s="1"/>
  <c r="B52" i="107" s="1"/>
  <c r="V31" i="107"/>
  <c r="U31" i="107"/>
  <c r="T31" i="107"/>
  <c r="S31" i="107"/>
  <c r="R31" i="107"/>
  <c r="Q31" i="107"/>
  <c r="P31" i="107"/>
  <c r="O31" i="107"/>
  <c r="N31" i="107"/>
  <c r="M31" i="107"/>
  <c r="L31" i="107"/>
  <c r="K31" i="107"/>
  <c r="J31" i="107"/>
  <c r="I31" i="107"/>
  <c r="H31" i="107"/>
  <c r="G31" i="107"/>
  <c r="F31" i="107"/>
  <c r="E31" i="107"/>
  <c r="V21" i="107"/>
  <c r="U21" i="107"/>
  <c r="U32" i="107" s="1"/>
  <c r="T21" i="107"/>
  <c r="S21" i="107"/>
  <c r="R21" i="107"/>
  <c r="Q21" i="107"/>
  <c r="Q32" i="107" s="1"/>
  <c r="P21" i="107"/>
  <c r="O21" i="107"/>
  <c r="N21" i="107"/>
  <c r="M21" i="107"/>
  <c r="M32" i="107" s="1"/>
  <c r="L21" i="107"/>
  <c r="K21" i="107"/>
  <c r="J21" i="107"/>
  <c r="I21" i="107"/>
  <c r="I32" i="107" s="1"/>
  <c r="H21" i="107"/>
  <c r="G21" i="107"/>
  <c r="F21" i="107"/>
  <c r="E21" i="107"/>
  <c r="E32" i="107" s="1"/>
  <c r="V14" i="107"/>
  <c r="V16" i="107" s="1"/>
  <c r="U14" i="107"/>
  <c r="U16" i="107" s="1"/>
  <c r="T14" i="107"/>
  <c r="T16" i="107" s="1"/>
  <c r="S14" i="107"/>
  <c r="S16" i="107" s="1"/>
  <c r="R14" i="107"/>
  <c r="R16" i="107" s="1"/>
  <c r="Q14" i="107"/>
  <c r="Q16" i="107" s="1"/>
  <c r="P14" i="107"/>
  <c r="P16" i="107" s="1"/>
  <c r="O14" i="107"/>
  <c r="O16" i="107" s="1"/>
  <c r="N14" i="107"/>
  <c r="N16" i="107" s="1"/>
  <c r="M14" i="107"/>
  <c r="M16" i="107" s="1"/>
  <c r="L14" i="107"/>
  <c r="L16" i="107" s="1"/>
  <c r="K14" i="107"/>
  <c r="K16" i="107" s="1"/>
  <c r="J14" i="107"/>
  <c r="J16" i="107" s="1"/>
  <c r="I14" i="107"/>
  <c r="I16" i="107" s="1"/>
  <c r="H14" i="107"/>
  <c r="H16" i="107" s="1"/>
  <c r="G14" i="107"/>
  <c r="G16" i="107" s="1"/>
  <c r="F14" i="107"/>
  <c r="F16" i="107" s="1"/>
  <c r="E14" i="107"/>
  <c r="E16" i="107" s="1"/>
  <c r="B10" i="107"/>
  <c r="B12" i="107" s="1"/>
  <c r="B13" i="107" s="1"/>
  <c r="B14" i="107" s="1"/>
  <c r="B15" i="107" s="1"/>
  <c r="B16" i="107" s="1"/>
  <c r="B18" i="107" s="1"/>
  <c r="B19" i="107" s="1"/>
  <c r="B20" i="107" s="1"/>
  <c r="B21" i="107" s="1"/>
  <c r="B23" i="107" s="1"/>
  <c r="B28" i="107" s="1"/>
  <c r="B29" i="107" s="1"/>
  <c r="B30" i="107" s="1"/>
  <c r="B31" i="107" s="1"/>
  <c r="B32" i="107" s="1"/>
  <c r="B34" i="107" s="1"/>
  <c r="B35" i="107" s="1"/>
  <c r="B36" i="107" s="1"/>
  <c r="B38" i="107" s="1"/>
  <c r="B39" i="107" s="1"/>
  <c r="B40" i="107" s="1"/>
  <c r="B41" i="107" s="1"/>
  <c r="B42" i="107" s="1"/>
  <c r="B43" i="107" s="1"/>
  <c r="B44" i="107" s="1"/>
  <c r="B45" i="107" s="1"/>
  <c r="B46" i="107" s="1"/>
  <c r="B47" i="107" s="1"/>
  <c r="H15" i="110"/>
  <c r="H13" i="110"/>
  <c r="K13" i="110"/>
  <c r="K15" i="110"/>
  <c r="J28" i="106"/>
  <c r="H32" i="107" l="1"/>
  <c r="L32" i="107"/>
  <c r="P32" i="107"/>
  <c r="T32" i="107"/>
  <c r="F32" i="107"/>
  <c r="F34" i="107" s="1"/>
  <c r="J32" i="107"/>
  <c r="J34" i="107" s="1"/>
  <c r="N32" i="107"/>
  <c r="R32" i="107"/>
  <c r="V32" i="107"/>
  <c r="G32" i="107"/>
  <c r="G34" i="107" s="1"/>
  <c r="K32" i="107"/>
  <c r="O32" i="107"/>
  <c r="O34" i="107" s="1"/>
  <c r="S32" i="107"/>
  <c r="E34" i="111"/>
  <c r="F34" i="111"/>
  <c r="G34" i="111"/>
  <c r="H34" i="111"/>
  <c r="I34" i="111"/>
  <c r="J34" i="111"/>
  <c r="K34" i="111"/>
  <c r="L34" i="111"/>
  <c r="M34" i="111"/>
  <c r="N34" i="111"/>
  <c r="O34" i="111"/>
  <c r="P34" i="111"/>
  <c r="Q34" i="111"/>
  <c r="R34" i="111"/>
  <c r="S34" i="111"/>
  <c r="T34" i="111"/>
  <c r="U34" i="111"/>
  <c r="V34" i="111"/>
  <c r="W34" i="111"/>
  <c r="X34" i="111"/>
  <c r="Y34" i="111"/>
  <c r="Z34" i="111"/>
  <c r="AA34" i="111"/>
  <c r="AB34" i="111"/>
  <c r="AC34" i="111"/>
  <c r="AD34" i="111"/>
  <c r="AE34" i="111"/>
  <c r="AF34" i="111"/>
  <c r="AG34" i="111"/>
  <c r="AH34" i="111"/>
  <c r="AI34" i="111"/>
  <c r="AJ34" i="111"/>
  <c r="AK34" i="111"/>
  <c r="AL34" i="111"/>
  <c r="AM34" i="111"/>
  <c r="AN34" i="111"/>
  <c r="E34" i="107"/>
  <c r="H34" i="107"/>
  <c r="I34" i="107"/>
  <c r="K34" i="107"/>
  <c r="L34" i="107"/>
  <c r="M34" i="107"/>
  <c r="N34" i="107"/>
  <c r="P34" i="107"/>
  <c r="Q34" i="107"/>
  <c r="R34" i="107"/>
  <c r="S34" i="107"/>
  <c r="T34" i="107"/>
  <c r="U34" i="107"/>
  <c r="V34" i="107"/>
  <c r="H28" i="106"/>
  <c r="F28" i="106"/>
  <c r="E28" i="106"/>
  <c r="B10" i="106"/>
  <c r="B11" i="106" s="1"/>
  <c r="B12" i="106" s="1"/>
  <c r="B13" i="106" s="1"/>
  <c r="B14" i="106" s="1"/>
  <c r="B15" i="106" s="1"/>
  <c r="B16" i="106" s="1"/>
  <c r="B17" i="106" s="1"/>
  <c r="B18" i="106" s="1"/>
  <c r="B19" i="106" s="1"/>
  <c r="B20" i="106" s="1"/>
  <c r="B21" i="106" s="1"/>
  <c r="B22" i="106" s="1"/>
  <c r="B23" i="106" s="1"/>
  <c r="B24" i="106" s="1"/>
  <c r="B25" i="106" s="1"/>
  <c r="B26" i="106" s="1"/>
  <c r="B27" i="106" s="1"/>
  <c r="F18" i="104" l="1"/>
  <c r="E13" i="104"/>
  <c r="J14" i="110" l="1"/>
  <c r="I15" i="110"/>
  <c r="J15" i="110" s="1"/>
  <c r="I13" i="110"/>
  <c r="J13" i="110" s="1"/>
  <c r="G19" i="58" l="1"/>
  <c r="F10" i="110"/>
  <c r="F11" i="110"/>
  <c r="G14" i="110"/>
  <c r="F9" i="110"/>
  <c r="J11" i="58"/>
  <c r="F18" i="110" l="1"/>
  <c r="E11" i="104" s="1"/>
  <c r="F19" i="110"/>
  <c r="F17" i="110"/>
  <c r="E10" i="104" s="1"/>
  <c r="L11" i="58"/>
  <c r="E16" i="104" l="1"/>
  <c r="D13" i="93"/>
  <c r="F10" i="58" l="1"/>
  <c r="I19" i="110" l="1"/>
  <c r="I18" i="110"/>
  <c r="H11" i="104" s="1"/>
  <c r="I17" i="110"/>
  <c r="E9" i="104"/>
  <c r="K12" i="66"/>
  <c r="I12" i="66"/>
  <c r="H9" i="104" l="1"/>
  <c r="H10" i="104"/>
  <c r="H16" i="104" s="1"/>
  <c r="G10" i="105" l="1"/>
  <c r="G11" i="105" s="1"/>
  <c r="H10" i="105"/>
  <c r="H11" i="105" s="1"/>
  <c r="I10" i="105"/>
  <c r="I11" i="105" s="1"/>
  <c r="J10" i="105"/>
  <c r="J11" i="105" s="1"/>
  <c r="E10" i="105"/>
  <c r="E11" i="105" l="1"/>
  <c r="F10" i="105"/>
  <c r="F11" i="105" s="1"/>
  <c r="E9" i="105" l="1"/>
  <c r="D20" i="69"/>
  <c r="H11" i="58"/>
  <c r="G11" i="58" s="1"/>
  <c r="E14" i="103" s="1"/>
  <c r="G14" i="103"/>
  <c r="I14" i="103"/>
  <c r="F13" i="103"/>
  <c r="G13" i="103"/>
  <c r="H13" i="103"/>
  <c r="I13" i="103"/>
  <c r="J13" i="103"/>
  <c r="E13" i="103"/>
  <c r="E10" i="103"/>
  <c r="E9" i="103"/>
  <c r="F14" i="103" l="1"/>
  <c r="I13" i="93" l="1"/>
  <c r="K12" i="58"/>
  <c r="K14" i="58" l="1"/>
  <c r="K10" i="58"/>
  <c r="K13" i="58"/>
  <c r="G15" i="58" l="1"/>
  <c r="H15" i="58" s="1"/>
  <c r="K15" i="58"/>
  <c r="K16" i="58" s="1"/>
  <c r="D25" i="106"/>
  <c r="I17" i="105" l="1"/>
  <c r="M11" i="102" l="1"/>
  <c r="J24" i="102" s="1"/>
  <c r="M12" i="102"/>
  <c r="J25" i="102" s="1"/>
  <c r="M15" i="102"/>
  <c r="M16" i="102"/>
  <c r="M17" i="102"/>
  <c r="M10" i="102"/>
  <c r="M14" i="102"/>
  <c r="J23" i="102" l="1"/>
  <c r="M25" i="102"/>
  <c r="J38" i="102" s="1"/>
  <c r="M38" i="102" s="1"/>
  <c r="J29" i="102"/>
  <c r="M29" i="102" s="1"/>
  <c r="J42" i="102" s="1"/>
  <c r="M42" i="102" s="1"/>
  <c r="J27" i="102"/>
  <c r="M27" i="102" s="1"/>
  <c r="J40" i="102" s="1"/>
  <c r="J30" i="102"/>
  <c r="M30" i="102" s="1"/>
  <c r="J43" i="102" s="1"/>
  <c r="M43" i="102" s="1"/>
  <c r="M24" i="102"/>
  <c r="J37" i="102" s="1"/>
  <c r="M37" i="102" s="1"/>
  <c r="J28" i="102"/>
  <c r="M28" i="102" s="1"/>
  <c r="J41" i="102" s="1"/>
  <c r="M41" i="102" s="1"/>
  <c r="N13" i="102"/>
  <c r="I13" i="102"/>
  <c r="F26" i="102" s="1"/>
  <c r="N17" i="102"/>
  <c r="I17" i="102"/>
  <c r="F30" i="102" s="1"/>
  <c r="N16" i="102"/>
  <c r="I16" i="102"/>
  <c r="F29" i="102" s="1"/>
  <c r="N15" i="102"/>
  <c r="I15" i="102"/>
  <c r="F28" i="102" s="1"/>
  <c r="N14" i="102"/>
  <c r="N12" i="102"/>
  <c r="I12" i="102"/>
  <c r="N11" i="102"/>
  <c r="I11" i="102"/>
  <c r="N10" i="102"/>
  <c r="I10" i="102"/>
  <c r="M23" i="102" l="1"/>
  <c r="J36" i="102" s="1"/>
  <c r="N18" i="102"/>
  <c r="M40" i="102"/>
  <c r="F23" i="102"/>
  <c r="O11" i="102"/>
  <c r="F24" i="102"/>
  <c r="O12" i="102"/>
  <c r="F25" i="102"/>
  <c r="O15" i="102"/>
  <c r="O16" i="102"/>
  <c r="O17" i="102"/>
  <c r="O10" i="102"/>
  <c r="M13" i="102"/>
  <c r="M18" i="102" s="1"/>
  <c r="M36" i="102" l="1"/>
  <c r="J26" i="102"/>
  <c r="J31" i="102" s="1"/>
  <c r="N30" i="102"/>
  <c r="I30" i="102"/>
  <c r="N29" i="102"/>
  <c r="I29" i="102"/>
  <c r="N28" i="102"/>
  <c r="I28" i="102"/>
  <c r="I26" i="102"/>
  <c r="N25" i="102"/>
  <c r="I25" i="102"/>
  <c r="N24" i="102"/>
  <c r="I24" i="102"/>
  <c r="N23" i="102"/>
  <c r="I23" i="102"/>
  <c r="O13" i="102"/>
  <c r="N26" i="102" l="1"/>
  <c r="F36" i="102"/>
  <c r="M26" i="102"/>
  <c r="M31" i="102" s="1"/>
  <c r="O24" i="102"/>
  <c r="F37" i="102"/>
  <c r="O25" i="102"/>
  <c r="F38" i="102"/>
  <c r="F39" i="102"/>
  <c r="O28" i="102"/>
  <c r="F41" i="102"/>
  <c r="O29" i="102"/>
  <c r="F42" i="102"/>
  <c r="O30" i="102"/>
  <c r="F43" i="102"/>
  <c r="O23" i="102"/>
  <c r="N36" i="102" l="1"/>
  <c r="O26" i="102"/>
  <c r="I36" i="102"/>
  <c r="J39" i="102"/>
  <c r="J44" i="102" s="1"/>
  <c r="N43" i="102"/>
  <c r="I43" i="102"/>
  <c r="O43" i="102" s="1"/>
  <c r="N42" i="102"/>
  <c r="I42" i="102"/>
  <c r="O42" i="102" s="1"/>
  <c r="N41" i="102"/>
  <c r="I41" i="102"/>
  <c r="O41" i="102" s="1"/>
  <c r="I39" i="102"/>
  <c r="N38" i="102"/>
  <c r="I38" i="102"/>
  <c r="O38" i="102" s="1"/>
  <c r="N37" i="102"/>
  <c r="I37" i="102"/>
  <c r="N39" i="102" l="1"/>
  <c r="O36" i="102"/>
  <c r="M39" i="102"/>
  <c r="M44" i="102" s="1"/>
  <c r="O37" i="102"/>
  <c r="E15" i="110"/>
  <c r="E13" i="110"/>
  <c r="E18" i="110" s="1"/>
  <c r="E12" i="110"/>
  <c r="K10" i="110"/>
  <c r="K11" i="110"/>
  <c r="K12" i="110"/>
  <c r="H11" i="110"/>
  <c r="H12" i="110"/>
  <c r="J12" i="110" s="1"/>
  <c r="I16" i="110"/>
  <c r="H16" i="110" s="1"/>
  <c r="J16" i="110" s="1"/>
  <c r="O39" i="102" l="1"/>
  <c r="E19" i="110"/>
  <c r="E17" i="110"/>
  <c r="H18" i="110"/>
  <c r="H19" i="110"/>
  <c r="H17" i="110"/>
  <c r="K19" i="110"/>
  <c r="K18" i="110"/>
  <c r="J11" i="104" s="1"/>
  <c r="K17" i="110"/>
  <c r="K16" i="110"/>
  <c r="J11" i="110"/>
  <c r="E16" i="110"/>
  <c r="J10" i="110"/>
  <c r="F26" i="67"/>
  <c r="F34" i="67" s="1"/>
  <c r="F36" i="67" s="1"/>
  <c r="E26" i="67"/>
  <c r="E34" i="67" s="1"/>
  <c r="E36" i="67" s="1"/>
  <c r="D26" i="67"/>
  <c r="D34" i="67" s="1"/>
  <c r="D36" i="67" s="1"/>
  <c r="I10" i="66" l="1"/>
  <c r="K10" i="66"/>
  <c r="J18" i="110"/>
  <c r="J10" i="104"/>
  <c r="J9" i="104"/>
  <c r="J19" i="110"/>
  <c r="J17" i="110"/>
  <c r="F16" i="104"/>
  <c r="F9" i="104"/>
  <c r="F16" i="110"/>
  <c r="G16" i="110" s="1"/>
  <c r="G12" i="110"/>
  <c r="G11" i="110"/>
  <c r="G10" i="110"/>
  <c r="G9" i="110"/>
  <c r="G13" i="110"/>
  <c r="G15" i="110"/>
  <c r="G11" i="103"/>
  <c r="E15" i="109"/>
  <c r="G17" i="110" l="1"/>
  <c r="G19" i="110"/>
  <c r="G18" i="110"/>
  <c r="J16" i="104"/>
  <c r="F10" i="104"/>
  <c r="F11" i="104"/>
  <c r="K18" i="58"/>
  <c r="K20" i="58" s="1"/>
  <c r="K21" i="58" s="1"/>
  <c r="H19" i="58"/>
  <c r="F19" i="58"/>
  <c r="D11" i="105"/>
  <c r="I17" i="104" l="1"/>
  <c r="D15" i="109"/>
  <c r="D13" i="105"/>
  <c r="D11" i="103"/>
  <c r="D19" i="103" l="1"/>
  <c r="F10" i="66" l="1"/>
  <c r="G10" i="66" s="1"/>
  <c r="F36" i="68"/>
  <c r="F38" i="68" s="1"/>
  <c r="E36" i="68"/>
  <c r="E38" i="68" s="1"/>
  <c r="D36" i="68"/>
  <c r="D38" i="68" s="1"/>
  <c r="G13" i="93"/>
  <c r="F15" i="109"/>
  <c r="D17" i="105"/>
  <c r="J17" i="105"/>
  <c r="H17" i="105"/>
  <c r="G17" i="105"/>
  <c r="F17" i="105"/>
  <c r="E17" i="105"/>
  <c r="G13" i="105"/>
  <c r="K11" i="66" l="1"/>
  <c r="K13" i="66" s="1"/>
  <c r="J12" i="104" s="1"/>
  <c r="I11" i="66"/>
  <c r="I13" i="66" s="1"/>
  <c r="H12" i="104" s="1"/>
  <c r="F11" i="66"/>
  <c r="G11" i="66" s="1"/>
  <c r="F10" i="103"/>
  <c r="F9" i="105"/>
  <c r="F19" i="105" s="1"/>
  <c r="D18" i="109"/>
  <c r="D21" i="109" s="1"/>
  <c r="F18" i="109"/>
  <c r="F21" i="109" s="1"/>
  <c r="D19" i="105"/>
  <c r="D20" i="105" s="1"/>
  <c r="E21" i="109"/>
  <c r="I10" i="58"/>
  <c r="F12" i="58"/>
  <c r="G19" i="103"/>
  <c r="I12" i="58" s="1"/>
  <c r="G19" i="105"/>
  <c r="E19" i="105" l="1"/>
  <c r="F9" i="103"/>
  <c r="F11" i="103" s="1"/>
  <c r="E11" i="103"/>
  <c r="F13" i="93"/>
  <c r="H9" i="103"/>
  <c r="J10" i="58"/>
  <c r="F18" i="103"/>
  <c r="H18" i="103" s="1"/>
  <c r="J18" i="103" s="1"/>
  <c r="E13" i="93"/>
  <c r="H10" i="93" s="1"/>
  <c r="H13" i="93" s="1"/>
  <c r="J10" i="93" s="1"/>
  <c r="J13" i="93" s="1"/>
  <c r="E13" i="105"/>
  <c r="H9" i="105" s="1"/>
  <c r="F13" i="105"/>
  <c r="F20" i="105" s="1"/>
  <c r="F21" i="105" s="1"/>
  <c r="H14" i="58" s="1"/>
  <c r="H10" i="103"/>
  <c r="L10" i="58"/>
  <c r="G20" i="105"/>
  <c r="I14" i="58" s="1"/>
  <c r="F14" i="58"/>
  <c r="I14" i="102" l="1"/>
  <c r="I18" i="102" s="1"/>
  <c r="E20" i="105"/>
  <c r="E21" i="105" s="1"/>
  <c r="G14" i="58" s="1"/>
  <c r="J9" i="103"/>
  <c r="H11" i="103"/>
  <c r="H19" i="105"/>
  <c r="H13" i="105"/>
  <c r="F27" i="102" l="1"/>
  <c r="F31" i="102" s="1"/>
  <c r="J13" i="104" s="1"/>
  <c r="O14" i="102"/>
  <c r="O18" i="102" s="1"/>
  <c r="J10" i="103"/>
  <c r="J11" i="103" s="1"/>
  <c r="J9" i="105"/>
  <c r="H20" i="105"/>
  <c r="F13" i="104" l="1"/>
  <c r="H13" i="104"/>
  <c r="H14" i="103"/>
  <c r="H15" i="103" s="1"/>
  <c r="H17" i="103" s="1"/>
  <c r="H19" i="103" s="1"/>
  <c r="E20" i="69"/>
  <c r="E21" i="69" s="1"/>
  <c r="N27" i="102"/>
  <c r="N31" i="102" s="1"/>
  <c r="I27" i="102"/>
  <c r="I31" i="102" s="1"/>
  <c r="H21" i="105"/>
  <c r="J14" i="58" s="1"/>
  <c r="E15" i="103"/>
  <c r="E17" i="103" s="1"/>
  <c r="E19" i="103" s="1"/>
  <c r="E21" i="103" s="1"/>
  <c r="G12" i="58" s="1"/>
  <c r="E16" i="103"/>
  <c r="F16" i="103"/>
  <c r="F15" i="103"/>
  <c r="F17" i="103" s="1"/>
  <c r="F19" i="103" s="1"/>
  <c r="F21" i="103" s="1"/>
  <c r="H12" i="58" s="1"/>
  <c r="J19" i="105"/>
  <c r="J13" i="105"/>
  <c r="L15" i="58"/>
  <c r="J15" i="58"/>
  <c r="I15" i="58"/>
  <c r="F15" i="58"/>
  <c r="L18" i="58"/>
  <c r="L20" i="58" s="1"/>
  <c r="J18" i="58"/>
  <c r="J20" i="58" s="1"/>
  <c r="I18" i="58"/>
  <c r="I20" i="58" s="1"/>
  <c r="H18" i="58"/>
  <c r="H20" i="58" s="1"/>
  <c r="F18" i="58"/>
  <c r="O27" i="102" l="1"/>
  <c r="O31" i="102" s="1"/>
  <c r="F40" i="102"/>
  <c r="F44" i="102" s="1"/>
  <c r="H16" i="103"/>
  <c r="J20" i="105"/>
  <c r="J21" i="105" s="1"/>
  <c r="L14" i="58" s="1"/>
  <c r="G18" i="58"/>
  <c r="G20" i="58" s="1"/>
  <c r="H21" i="103"/>
  <c r="J12" i="58" s="1"/>
  <c r="F20" i="58"/>
  <c r="N40" i="102" l="1"/>
  <c r="N44" i="102" s="1"/>
  <c r="I40" i="102"/>
  <c r="I44" i="102" s="1"/>
  <c r="F20" i="69"/>
  <c r="F21" i="69" s="1"/>
  <c r="E44" i="102"/>
  <c r="E31" i="102"/>
  <c r="O40" i="102" l="1"/>
  <c r="O44" i="102" s="1"/>
  <c r="J14" i="103"/>
  <c r="J15" i="103" s="1"/>
  <c r="J17" i="103" s="1"/>
  <c r="J19" i="103" s="1"/>
  <c r="J21" i="103" s="1"/>
  <c r="L12" i="58" s="1"/>
  <c r="B19" i="58"/>
  <c r="B20" i="58" s="1"/>
  <c r="J16" i="103" l="1"/>
  <c r="B10" i="105" l="1"/>
  <c r="B11" i="105" s="1"/>
  <c r="B12" i="105" s="1"/>
  <c r="B13" i="105" s="1"/>
  <c r="B15" i="105" s="1"/>
  <c r="B16" i="105" s="1"/>
  <c r="B17" i="105" s="1"/>
  <c r="B19" i="105" s="1"/>
  <c r="B10" i="104"/>
  <c r="B11" i="104" s="1"/>
  <c r="B12" i="104" s="1"/>
  <c r="B13" i="104" s="1"/>
  <c r="B14" i="104" s="1"/>
  <c r="B16" i="104" s="1"/>
  <c r="B17" i="104" s="1"/>
  <c r="B18" i="104" s="1"/>
  <c r="B19" i="104" s="1"/>
  <c r="B10" i="103"/>
  <c r="B11" i="103" s="1"/>
  <c r="B12" i="103" s="1"/>
  <c r="B13" i="103" s="1"/>
  <c r="B14" i="103" s="1"/>
  <c r="B15" i="103" s="1"/>
  <c r="B16" i="103" s="1"/>
  <c r="B17" i="103" s="1"/>
  <c r="B18" i="103" s="1"/>
  <c r="B19" i="103" s="1"/>
  <c r="B20" i="103" s="1"/>
  <c r="B21" i="103" s="1"/>
  <c r="B20" i="105" l="1"/>
  <c r="B21" i="105" s="1"/>
  <c r="B11" i="58"/>
  <c r="B12" i="58" s="1"/>
  <c r="B13" i="58" s="1"/>
  <c r="B14" i="58" s="1"/>
  <c r="B15" i="58" s="1"/>
  <c r="B16" i="58" s="1"/>
  <c r="B7" i="57" l="1"/>
  <c r="B8" i="57" s="1"/>
  <c r="B9" i="57" s="1"/>
  <c r="B10" i="57" s="1"/>
  <c r="B11" i="57" l="1"/>
  <c r="B12" i="57" s="1"/>
  <c r="B13" i="57" s="1"/>
  <c r="B11" i="66"/>
  <c r="B12" i="66" s="1"/>
  <c r="B13" i="66" s="1"/>
  <c r="B28" i="67"/>
  <c r="B29" i="67" s="1"/>
  <c r="B30" i="67" s="1"/>
  <c r="B31" i="67" s="1"/>
  <c r="B14" i="57" l="1"/>
  <c r="B15" i="57" s="1"/>
  <c r="B16" i="57" s="1"/>
  <c r="B17" i="57" s="1"/>
  <c r="B18" i="57" s="1"/>
  <c r="B19" i="57" s="1"/>
  <c r="B20" i="57" s="1"/>
  <c r="B21" i="57" l="1"/>
  <c r="B22" i="57" s="1"/>
  <c r="B23" i="57" s="1"/>
  <c r="B24" i="57" s="1"/>
  <c r="B25" i="57" s="1"/>
  <c r="B26" i="57" s="1"/>
  <c r="F13" i="58"/>
  <c r="I13" i="58"/>
  <c r="I16" i="58" s="1"/>
  <c r="I21" i="58" s="1"/>
  <c r="G17" i="104" s="1"/>
  <c r="F16" i="58" l="1"/>
  <c r="F21" i="58" s="1"/>
  <c r="D17" i="104" s="1"/>
  <c r="F12" i="66" l="1"/>
  <c r="G12" i="66"/>
  <c r="F13" i="66"/>
  <c r="G10" i="58" s="1"/>
  <c r="G13" i="66"/>
  <c r="H10" i="58" s="1"/>
  <c r="D21" i="69"/>
  <c r="F12" i="104" l="1"/>
  <c r="E12" i="104"/>
  <c r="G13" i="58" l="1"/>
  <c r="H13" i="58"/>
  <c r="J13" i="58"/>
  <c r="L13" i="58"/>
  <c r="G16" i="58"/>
  <c r="H16" i="58"/>
  <c r="J16" i="58"/>
  <c r="L16" i="58"/>
  <c r="G21" i="58"/>
  <c r="H21" i="58"/>
  <c r="J21" i="58"/>
  <c r="L21" i="58"/>
  <c r="E14" i="104"/>
  <c r="F14" i="104"/>
  <c r="H14" i="104"/>
  <c r="J14" i="104"/>
  <c r="E17" i="104"/>
  <c r="F17" i="104"/>
  <c r="H17" i="104"/>
  <c r="J17" i="104"/>
  <c r="E19" i="104"/>
  <c r="F19" i="104"/>
  <c r="H19" i="104"/>
  <c r="J19" i="104"/>
</calcChain>
</file>

<file path=xl/sharedStrings.xml><?xml version="1.0" encoding="utf-8"?>
<sst xmlns="http://schemas.openxmlformats.org/spreadsheetml/2006/main" count="1136" uniqueCount="511">
  <si>
    <t>Equity</t>
  </si>
  <si>
    <t>Reference</t>
  </si>
  <si>
    <t>S.No.</t>
  </si>
  <si>
    <t>Actual</t>
  </si>
  <si>
    <t>(Rs. Crore)</t>
  </si>
  <si>
    <t>Estimated</t>
  </si>
  <si>
    <t>Form 1</t>
  </si>
  <si>
    <t>Title</t>
  </si>
  <si>
    <t>Projected</t>
  </si>
  <si>
    <t>…</t>
  </si>
  <si>
    <t>Approved</t>
  </si>
  <si>
    <t>Remarks</t>
  </si>
  <si>
    <t>Audited</t>
  </si>
  <si>
    <t>Less: Expenses Capitalised</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</si>
  <si>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</si>
  <si>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</si>
  <si>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</si>
  <si>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</si>
  <si>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</si>
  <si>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</si>
  <si>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</si>
  <si>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</si>
  <si>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</si>
  <si>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</si>
  <si>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</si>
  <si>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</si>
  <si>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</si>
  <si>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</si>
  <si>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</si>
  <si>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</si>
  <si>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</si>
  <si>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</si>
  <si>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Operation &amp; Maintenance Expenses</t>
  </si>
  <si>
    <t>Interest on Working Capital</t>
  </si>
  <si>
    <t>Less: Non-Tariff Income</t>
  </si>
  <si>
    <t>Units</t>
  </si>
  <si>
    <t>Target Availability for full recovery of AFC</t>
  </si>
  <si>
    <t>%</t>
  </si>
  <si>
    <t>Target PLF for Incentive</t>
  </si>
  <si>
    <t>Scheduled Generation</t>
  </si>
  <si>
    <t>MU</t>
  </si>
  <si>
    <t>Normative Auxiliary Energy Consumption</t>
  </si>
  <si>
    <t>Net Generation</t>
  </si>
  <si>
    <t>Normative Gross Station Heat Rate</t>
  </si>
  <si>
    <t>kcal/kWh</t>
  </si>
  <si>
    <t>Normative Secondary Fuel Oil Consumption</t>
  </si>
  <si>
    <t>ml/kWh</t>
  </si>
  <si>
    <t>Normative Transit Loss</t>
  </si>
  <si>
    <t>Transit Loss</t>
  </si>
  <si>
    <t xml:space="preserve">Note: </t>
  </si>
  <si>
    <t>Total Working Capital requirement</t>
  </si>
  <si>
    <t>Gross Generation</t>
  </si>
  <si>
    <t>A.</t>
  </si>
  <si>
    <t>Planned Outages</t>
  </si>
  <si>
    <t>No of days of outage</t>
  </si>
  <si>
    <t>Period of Outage</t>
  </si>
  <si>
    <t>Reasons for Outage</t>
  </si>
  <si>
    <t>B.</t>
  </si>
  <si>
    <t>Forced Outages</t>
  </si>
  <si>
    <t xml:space="preserve">Reasons for Outage </t>
  </si>
  <si>
    <t>……</t>
  </si>
  <si>
    <t>…….</t>
  </si>
  <si>
    <t>A</t>
  </si>
  <si>
    <t>A. For Existing Generating Stations</t>
  </si>
  <si>
    <t xml:space="preserve">Employee Expenses </t>
  </si>
  <si>
    <t>Total O&amp;M Expenses</t>
  </si>
  <si>
    <t>B</t>
  </si>
  <si>
    <t>C</t>
  </si>
  <si>
    <t>Basic Salary</t>
  </si>
  <si>
    <t>Dearness Allowance (DA)</t>
  </si>
  <si>
    <t>House Rent Allowance</t>
  </si>
  <si>
    <t>Conveyance Allowance</t>
  </si>
  <si>
    <t>Leave Travel Allowance</t>
  </si>
  <si>
    <t>Earned Leave Encashment</t>
  </si>
  <si>
    <t>Other Allowances</t>
  </si>
  <si>
    <t>Medical Reimbursement</t>
  </si>
  <si>
    <t>Overtime Payment</t>
  </si>
  <si>
    <t>Bonus/Ex-Gratia Payments</t>
  </si>
  <si>
    <t xml:space="preserve">Interim Relief / Wage Revision </t>
  </si>
  <si>
    <t>Staff welfare expenses</t>
  </si>
  <si>
    <t>VRS Expenses/Retrenchment Compensation</t>
  </si>
  <si>
    <t>Commission to Directors</t>
  </si>
  <si>
    <t>Training Expenses</t>
  </si>
  <si>
    <t>Payment under Workmen's Compensation Act</t>
  </si>
  <si>
    <t>Net Employee Costs</t>
  </si>
  <si>
    <t>Terminal Benefits</t>
  </si>
  <si>
    <t>Provident Fund Contribution</t>
  </si>
  <si>
    <t>Provision for PF Fund</t>
  </si>
  <si>
    <t>Pension Payments</t>
  </si>
  <si>
    <t>Gratuity Payment</t>
  </si>
  <si>
    <t>Others</t>
  </si>
  <si>
    <t xml:space="preserve">Gross Employee Expenses </t>
  </si>
  <si>
    <t xml:space="preserve">Net Employee Expenses </t>
  </si>
  <si>
    <t>Rent Rates &amp; Taxes</t>
  </si>
  <si>
    <t>Insurance</t>
  </si>
  <si>
    <t>Telephone &amp; Postage, etc.</t>
  </si>
  <si>
    <t>Legal charges &amp; Audit fee</t>
  </si>
  <si>
    <t>Professional, Consultancy, Technical fee</t>
  </si>
  <si>
    <t>Conveyance &amp; Travel</t>
  </si>
  <si>
    <t>Electricity charges</t>
  </si>
  <si>
    <t>Water charges</t>
  </si>
  <si>
    <t>Security arrangements</t>
  </si>
  <si>
    <t>Fees &amp; subscription</t>
  </si>
  <si>
    <t>Books &amp; periodicals</t>
  </si>
  <si>
    <t>Computer Stationery</t>
  </si>
  <si>
    <t>Printing &amp; Stationery</t>
  </si>
  <si>
    <t xml:space="preserve">Advertisements </t>
  </si>
  <si>
    <t>Purchase Related Advertisement Expenses</t>
  </si>
  <si>
    <t>Contribution/Donations</t>
  </si>
  <si>
    <t>License Fee  and other related fee</t>
  </si>
  <si>
    <t>Vehicle Running Expenses Truck / Delivery Van</t>
  </si>
  <si>
    <t>Vehicle Hiring Expenses Truck / Delivery Van</t>
  </si>
  <si>
    <t>Cost of services procured</t>
  </si>
  <si>
    <t>Outsourcing of metering and billing system</t>
  </si>
  <si>
    <t>Freight On Capital Equipments</t>
  </si>
  <si>
    <t>V-sat, Internet and related charges</t>
  </si>
  <si>
    <t>Training</t>
  </si>
  <si>
    <t>Bank Charges</t>
  </si>
  <si>
    <t>Miscellaneous Expenses</t>
  </si>
  <si>
    <t>Office Expenses</t>
  </si>
  <si>
    <t>Gross A &amp;G Expenses</t>
  </si>
  <si>
    <t xml:space="preserve">Net A &amp;G Expenses </t>
  </si>
  <si>
    <t>Plant &amp; Machinery</t>
  </si>
  <si>
    <t>Buildings</t>
  </si>
  <si>
    <t>Civil Works</t>
  </si>
  <si>
    <t>Hydraulic Works</t>
  </si>
  <si>
    <t>Lines &amp; Cable Networks</t>
  </si>
  <si>
    <t>Vehicles</t>
  </si>
  <si>
    <t>Furniture &amp; Fixtures</t>
  </si>
  <si>
    <t>Office Equipment</t>
  </si>
  <si>
    <t>Gross R&amp;M Expenses</t>
  </si>
  <si>
    <t>Gross Fixed Assets at beginning of year</t>
  </si>
  <si>
    <t>R&amp;M Expenses as % of GFA at beginning of year</t>
  </si>
  <si>
    <t>Additions during the year</t>
  </si>
  <si>
    <t>Total</t>
  </si>
  <si>
    <t>(MU)</t>
  </si>
  <si>
    <t>Apr</t>
  </si>
  <si>
    <t>May</t>
  </si>
  <si>
    <t>Jun</t>
  </si>
  <si>
    <t>Jul</t>
  </si>
  <si>
    <t>Aug</t>
  </si>
  <si>
    <t>Sep</t>
  </si>
  <si>
    <t>Oct</t>
  </si>
  <si>
    <t>Nov</t>
  </si>
  <si>
    <t>Dec</t>
  </si>
  <si>
    <t>Jan</t>
  </si>
  <si>
    <t>Feb</t>
  </si>
  <si>
    <t>Mar</t>
  </si>
  <si>
    <t>Actuals</t>
  </si>
  <si>
    <t xml:space="preserve"> Total</t>
  </si>
  <si>
    <t>Revenue from sale of electricity</t>
  </si>
  <si>
    <t>Non-Tariff Income</t>
  </si>
  <si>
    <t>Actual/Projected Availability</t>
  </si>
  <si>
    <t>Actual/Projected PLF</t>
  </si>
  <si>
    <t>Actual/Projected Gross Generation</t>
  </si>
  <si>
    <t>Actual/Projected Auxiliary Energy Consumption</t>
  </si>
  <si>
    <t>Actual/Projected Gross Station Heat Rate</t>
  </si>
  <si>
    <t>Actual/Projected Secondary Fuel Oil Consumption</t>
  </si>
  <si>
    <t>Actual/Projected Transit Loss</t>
  </si>
  <si>
    <t>Form 12</t>
  </si>
  <si>
    <t>Unit 1 / Station 1</t>
  </si>
  <si>
    <t>Unit 2 / Station 2</t>
  </si>
  <si>
    <t xml:space="preserve">Depreciation </t>
  </si>
  <si>
    <t>Form 13</t>
  </si>
  <si>
    <t>Total Revenue</t>
  </si>
  <si>
    <t>Auxiliary Consumption</t>
  </si>
  <si>
    <t>Normative Availability (%)</t>
  </si>
  <si>
    <t>Availability</t>
  </si>
  <si>
    <t>Plant Load Factor (PLF)</t>
  </si>
  <si>
    <t>Secondary Fuel Oil Consumption</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</si>
  <si>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</si>
  <si>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</si>
  <si>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</si>
  <si>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</si>
  <si>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</si>
  <si>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</si>
  <si>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</si>
  <si>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</si>
  <si>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</si>
  <si>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Total Loan</t>
  </si>
  <si>
    <t>Financing Details</t>
  </si>
  <si>
    <t>Internal Resources</t>
  </si>
  <si>
    <t>Total Cost</t>
  </si>
  <si>
    <t>Financing of Additional Capitalisation</t>
  </si>
  <si>
    <t>Loan 2</t>
  </si>
  <si>
    <t>Loan 1</t>
  </si>
  <si>
    <t>S. No.</t>
  </si>
  <si>
    <t>Cumulative Availability (%)</t>
  </si>
  <si>
    <t>Cumulative PLF (%)</t>
  </si>
  <si>
    <t>Gross  Generation (MU)</t>
  </si>
  <si>
    <t>Auxiliary Consumption (MU)</t>
  </si>
  <si>
    <t>Variable Charges Per Unit</t>
  </si>
  <si>
    <t>Fixed Charges During Month</t>
  </si>
  <si>
    <t>Incentive Amount</t>
  </si>
  <si>
    <t>Other recoveries/adjustments</t>
  </si>
  <si>
    <t>Rs./kWh</t>
  </si>
  <si>
    <t>Rs. Crore</t>
  </si>
  <si>
    <t>Total Revenue as per Audited Accounts</t>
  </si>
  <si>
    <t>Gross Station Heat Rate</t>
  </si>
  <si>
    <t>True-Up requirement</t>
  </si>
  <si>
    <t>Legend</t>
  </si>
  <si>
    <t xml:space="preserve">Details of outages should be submitted for each Unit of each station separately </t>
  </si>
  <si>
    <t>R &amp; M Expenses</t>
  </si>
  <si>
    <t>Installed Capacity</t>
  </si>
  <si>
    <t>Weighted average Rate of Interest on actual Loans (%)</t>
  </si>
  <si>
    <t>Average Balance of Net Normative Loan</t>
  </si>
  <si>
    <t>Net Generation (MU)</t>
  </si>
  <si>
    <t>Generation above target PLF (MU)</t>
  </si>
  <si>
    <t>Approved Fixed Charges</t>
  </si>
  <si>
    <t>Amount of Fuel Surcharge Adjustment</t>
  </si>
  <si>
    <t>Summary of Capital Expenditure and Capitalisation</t>
  </si>
  <si>
    <t>Type of Thermal Generating Station (Pithead/Non-Pithead)</t>
  </si>
  <si>
    <t>Form 15</t>
  </si>
  <si>
    <t>Form 16</t>
  </si>
  <si>
    <t>Regulatory Equity at the beginning of the year</t>
  </si>
  <si>
    <t>Capitalisation during the year</t>
  </si>
  <si>
    <t>Return on Regulatory Equity at the beginning of the year</t>
  </si>
  <si>
    <t>Return on Regulatory Equity addition during the year</t>
  </si>
  <si>
    <t>Revenue from Sale of Electricity</t>
  </si>
  <si>
    <t>n+1</t>
  </si>
  <si>
    <t xml:space="preserve">April-March     </t>
  </si>
  <si>
    <t>Claimed</t>
  </si>
  <si>
    <t>April - March</t>
  </si>
  <si>
    <t>Interest and finance charges on loan</t>
  </si>
  <si>
    <t>Return on Equity</t>
  </si>
  <si>
    <t>Annual Fixed Charges</t>
  </si>
  <si>
    <t>Energy Charges</t>
  </si>
  <si>
    <t>Energy Charge Rate</t>
  </si>
  <si>
    <t>Scheduled Energy (ex-bus)</t>
  </si>
  <si>
    <t>Apr - Mar</t>
  </si>
  <si>
    <t>Apr-Mar</t>
  </si>
  <si>
    <t>A&amp;G Expenses</t>
  </si>
  <si>
    <t>Note:</t>
  </si>
  <si>
    <t>The projections for the Control Period to be supported by detailed computations</t>
  </si>
  <si>
    <t>Opening Capital Works in Progress</t>
  </si>
  <si>
    <t>Closing Capital Works in Progress</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</si>
  <si>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</si>
  <si>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</si>
  <si>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</si>
  <si>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</si>
  <si>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</si>
  <si>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</si>
  <si>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</si>
  <si>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</si>
  <si>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</si>
  <si>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</si>
  <si>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</si>
  <si>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 xml:space="preserve">Asset Group                                                                                                                                                </t>
  </si>
  <si>
    <t>Form 2</t>
  </si>
  <si>
    <t>Form 2.3</t>
  </si>
  <si>
    <t>Form 2.1: Employee Expenses</t>
  </si>
  <si>
    <t>Form 2.3: Repair &amp; Maintenance Expenses</t>
  </si>
  <si>
    <t>Form 3:  Summary of Capital Expenditure and Capitalisation</t>
  </si>
  <si>
    <t>Form 4:  Fixed Assets &amp; Depreciation</t>
  </si>
  <si>
    <t>Capital Expenditure during the year</t>
  </si>
  <si>
    <t>Form 5:  Interest and finance charges on loan</t>
  </si>
  <si>
    <t>Normative Loan</t>
  </si>
  <si>
    <t>Interest</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</si>
  <si>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</si>
  <si>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</si>
  <si>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</si>
  <si>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</si>
  <si>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</si>
  <si>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</si>
  <si>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</si>
  <si>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</si>
  <si>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</si>
  <si>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Interest rate</t>
  </si>
  <si>
    <t>Interest on working capital</t>
  </si>
  <si>
    <t>Form 7:  Return on Equity</t>
  </si>
  <si>
    <t>Rate of Return on Equity</t>
  </si>
  <si>
    <t>Base rate of Return on Equity</t>
  </si>
  <si>
    <t>Effective Income Tax rate</t>
  </si>
  <si>
    <t>Form 8:  Non-Tariff Income</t>
  </si>
  <si>
    <t xml:space="preserve">April-March    </t>
  </si>
  <si>
    <t>Form 9:  Planned &amp; Forced Outages</t>
  </si>
  <si>
    <t>Form 10: Operational parameters</t>
  </si>
  <si>
    <t>Form 3.2:  Financing of Additional Capitalisation</t>
  </si>
  <si>
    <t>Additional capitalisation</t>
  </si>
  <si>
    <t>Others (Please Specify)</t>
  </si>
  <si>
    <t>Total (2+3+4+5)</t>
  </si>
  <si>
    <t>Opening Quantity</t>
  </si>
  <si>
    <t>Opening quantity of coal</t>
  </si>
  <si>
    <t>Value ot stock</t>
  </si>
  <si>
    <t>MT</t>
  </si>
  <si>
    <t>Procurement</t>
  </si>
  <si>
    <t>Quantity of coal suppllied by the coal company</t>
  </si>
  <si>
    <t>Coal supplied by coal company (3+4)</t>
  </si>
  <si>
    <t>Normative transit and handling loss</t>
  </si>
  <si>
    <t>Net coal supplied</t>
  </si>
  <si>
    <t>Price</t>
  </si>
  <si>
    <t>Amount charged by coal company</t>
  </si>
  <si>
    <t>Adjustment in amount charged by the coal company</t>
  </si>
  <si>
    <t>Handling, sampling and such other similar charges</t>
  </si>
  <si>
    <t>Total amount charged (8+9+10)</t>
  </si>
  <si>
    <t>D</t>
  </si>
  <si>
    <t>Transportation</t>
  </si>
  <si>
    <t>Transportation charges</t>
  </si>
  <si>
    <t>By rail</t>
  </si>
  <si>
    <t>By road</t>
  </si>
  <si>
    <t>By ship</t>
  </si>
  <si>
    <t>Adjustment in amount charged by the coal transporter</t>
  </si>
  <si>
    <t>Demurrage charges, if any</t>
  </si>
  <si>
    <t>Total Transportation charges (12+13+14+15)</t>
  </si>
  <si>
    <t>Total amount charged for coal supplied including transportation (11+16)</t>
  </si>
  <si>
    <t>E</t>
  </si>
  <si>
    <t>Landed cost of coal (2+17)/(1+7)</t>
  </si>
  <si>
    <t>Rs./MT</t>
  </si>
  <si>
    <t>Blending Ratio (Domestic/Imported)</t>
  </si>
  <si>
    <t>Weighted average cost of coal for preceding three months</t>
  </si>
  <si>
    <t>F</t>
  </si>
  <si>
    <t>Quality</t>
  </si>
  <si>
    <t>kcal/kg</t>
  </si>
  <si>
    <t>GCV of Domestic Coal supplied as per bill of Coal Company</t>
  </si>
  <si>
    <t>GCV of Imported Coal supplied as per bill Coal Company</t>
  </si>
  <si>
    <t>Weighted average GCV of coal as Billed</t>
  </si>
  <si>
    <t>GCV of Domestic Coal supplied as received at Station</t>
  </si>
  <si>
    <t>GCV of Imported Coal of opening stock as received at Station</t>
  </si>
  <si>
    <t>Weighted average GCV of coal as Received</t>
  </si>
  <si>
    <t>Similar details to be furnished for secondary fuel oil for coal based thermal plants with appropriate units.</t>
  </si>
  <si>
    <t>As billed and as received GCV, quantity of coal, and price should be submitted as certified by statutory auditor.</t>
  </si>
  <si>
    <t>Details to be provided for each source separately. In case of more than one source, add additional column.</t>
  </si>
  <si>
    <t>Break up of the amount charged by the Coal Company is to be provided separately.</t>
  </si>
  <si>
    <t>COD</t>
  </si>
  <si>
    <t>Form 11: Fuel Details for computation of Energy Charge Rate</t>
  </si>
  <si>
    <t>Form 12: Energy Charge Rate</t>
  </si>
  <si>
    <t>Secondary Fuel oil consumption</t>
  </si>
  <si>
    <t>Calorific Value of Secondary Fuel</t>
  </si>
  <si>
    <t>Landed Price of Secondary Fuel</t>
  </si>
  <si>
    <t>Landed Price of Coal</t>
  </si>
  <si>
    <t>Specific Coal Consumption</t>
  </si>
  <si>
    <t>ECR</t>
  </si>
  <si>
    <t>AUX</t>
  </si>
  <si>
    <t>SFC</t>
  </si>
  <si>
    <t>CVSF</t>
  </si>
  <si>
    <t>kcal/ml</t>
  </si>
  <si>
    <t>LPSF</t>
  </si>
  <si>
    <t>Rs./ml</t>
  </si>
  <si>
    <t>CVPF</t>
  </si>
  <si>
    <t>LPPF</t>
  </si>
  <si>
    <t>Rs./kg</t>
  </si>
  <si>
    <t>kg/kWh</t>
  </si>
  <si>
    <t>GSHR</t>
  </si>
  <si>
    <t>Gross Calorific Value of Coal</t>
  </si>
  <si>
    <r>
      <t xml:space="preserve">              </t>
    </r>
    <r>
      <rPr>
        <b/>
        <sz val="11"/>
        <rFont val="Arial"/>
        <family val="2"/>
      </rPr>
      <t xml:space="preserve">               </t>
    </r>
  </si>
  <si>
    <t>Form 13: Sales</t>
  </si>
  <si>
    <t>Beneficiary</t>
  </si>
  <si>
    <t>Fuel Surcharge</t>
  </si>
  <si>
    <t>Energy Charges Amount</t>
  </si>
  <si>
    <t>Form 15: Revenue Reconciliation</t>
  </si>
  <si>
    <t>MYT/Tariff Order</t>
  </si>
  <si>
    <t xml:space="preserve"> Tariff Filing Formats - Generation</t>
  </si>
  <si>
    <t>Form</t>
  </si>
  <si>
    <t>Checklist</t>
  </si>
  <si>
    <t>Tick</t>
  </si>
  <si>
    <t>Form 14</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</si>
  <si>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</si>
  <si>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</si>
  <si>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</si>
  <si>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</si>
  <si>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</si>
  <si>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</si>
  <si>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</si>
  <si>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</si>
  <si>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</si>
  <si>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</si>
  <si>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</si>
  <si>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</si>
  <si>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</si>
  <si>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GCV of Domestic Coal of the opening stock as received at Station</t>
  </si>
  <si>
    <t>GCV of Imported Coal of the opening stock as per bill Coal Company</t>
  </si>
  <si>
    <t>GCV of Domestic Coal of the opening coal stock as per bill of Coal Company</t>
  </si>
  <si>
    <t>Cost of diesel in transporting coal through MGR system, if applicable</t>
  </si>
  <si>
    <t>Unfunded past liabilities of pension &amp; gratuity</t>
  </si>
  <si>
    <t>AFC +Energy Charges</t>
  </si>
  <si>
    <t>MYT/ Tariff Order</t>
  </si>
  <si>
    <t>Adjustment in coal quantity supplied by the coal company (-/+)</t>
  </si>
  <si>
    <r>
      <t>Receivables</t>
    </r>
    <r>
      <rPr>
        <sz val="10"/>
        <rFont val="Arial"/>
        <family val="2"/>
      </rPr>
      <t>1</t>
    </r>
  </si>
  <si>
    <r>
      <t>Payables for Fuels</t>
    </r>
    <r>
      <rPr>
        <sz val="10"/>
        <rFont val="Arial"/>
        <family val="2"/>
      </rPr>
      <t>2</t>
    </r>
  </si>
  <si>
    <t>1 In case actual availability is less or more than normative value, the modification in the formula need to be done accordingly.</t>
  </si>
  <si>
    <r>
      <t>Addition of Normative Loan due to capitalisation during the year</t>
    </r>
    <r>
      <rPr>
        <sz val="10"/>
        <rFont val="Arial"/>
        <family val="2"/>
      </rPr>
      <t>1</t>
    </r>
  </si>
  <si>
    <t>1 In case actual loan is more than 75%, the modification in the formula need to be done accordingly.</t>
  </si>
  <si>
    <t xml:space="preserve">      &lt;TGGENCO&gt;</t>
  </si>
  <si>
    <t>TGGENCO</t>
  </si>
  <si>
    <t>FY 2024-25</t>
  </si>
  <si>
    <t>FY 2025-26</t>
  </si>
  <si>
    <t>Form 2.2: Administrative &amp; General Expenses</t>
  </si>
  <si>
    <t>Form 1: Summary Sheet</t>
  </si>
  <si>
    <t>Coal Rate</t>
  </si>
  <si>
    <t>Oil Rate</t>
  </si>
  <si>
    <t>COMPUTERS</t>
  </si>
  <si>
    <t xml:space="preserve">CURRENT CONSUMPTION CHARGES                       </t>
  </si>
  <si>
    <t xml:space="preserve">INCOME FROM SALE OF ASH                           </t>
  </si>
  <si>
    <t xml:space="preserve">INCOME FROM SALE OF COAL REJECTS                  </t>
  </si>
  <si>
    <t xml:space="preserve">INCOME FROM SALE OF SCRAP                         </t>
  </si>
  <si>
    <t xml:space="preserve">INTEREST ON CYCLE/MOPED/MOTOR CYCLE/CAR ADVANCE   </t>
  </si>
  <si>
    <t xml:space="preserve">INTEREST ON MARRIAGE ADVANCE TO STAFF             </t>
  </si>
  <si>
    <t>INTEREST ON STAFF LOANS &amp; ADVANCES(HOUSE BUILDING)</t>
  </si>
  <si>
    <t xml:space="preserve">INTEREST/INCOME FROM OTHER DEPOSITS               </t>
  </si>
  <si>
    <t xml:space="preserve">INTEREST/INCOME ON DEPOSITS FROM BANKS            </t>
  </si>
  <si>
    <t xml:space="preserve">OTHER INCOME - CONSULTANCY PROJECTS               </t>
  </si>
  <si>
    <t xml:space="preserve">OTHER MISCELLANEOUS RECEIPTS/INCOME               </t>
  </si>
  <si>
    <t xml:space="preserve">OTHER RENTAL OR LETTING OUT                       </t>
  </si>
  <si>
    <t xml:space="preserve">PENALITIES RECOVERED FROM CONTRACTORS             </t>
  </si>
  <si>
    <t xml:space="preserve">RENTAL FROM RES. QUARTERS FROM UN REG PERSONS     </t>
  </si>
  <si>
    <t xml:space="preserve">RENTAL FROM STAFF FOR RESIDENTIAL QUARTERS        </t>
  </si>
  <si>
    <t xml:space="preserve">SALE OF TENDER SPECIFICATIONS                     </t>
  </si>
  <si>
    <t xml:space="preserve">VENDOR REGISTRATION FEE                           </t>
  </si>
  <si>
    <t xml:space="preserve">WATER CHARGES                                     </t>
  </si>
  <si>
    <t>Telangana State Power Generation Corporation Limited</t>
  </si>
  <si>
    <t>Opening quantity of oil</t>
  </si>
  <si>
    <t>KL</t>
  </si>
  <si>
    <t>Rs.in Crs</t>
  </si>
  <si>
    <t>Quantity of oil suppllied by the oil company</t>
  </si>
  <si>
    <t>Adjustment in oil quantity supplied by the oil company</t>
  </si>
  <si>
    <t>oil supplied by oil company (3+4)</t>
  </si>
  <si>
    <t>Net oil supplied</t>
  </si>
  <si>
    <t>Amount charged by oil company</t>
  </si>
  <si>
    <t>Adjustment in amount charged by the oil company</t>
  </si>
  <si>
    <t>Adjustment in amount charged by the oil transporter</t>
  </si>
  <si>
    <t>Cost of diesel in transporting oil through MGR system, if
applicable</t>
  </si>
  <si>
    <t>Total amount charged for oil supplied including transportation (11+16)</t>
  </si>
  <si>
    <t>Landed cost of oil (2+17)/(1+7)</t>
  </si>
  <si>
    <t>Rs./KL</t>
  </si>
  <si>
    <t>Weighted average cost of oil for preceding three months</t>
  </si>
  <si>
    <t xml:space="preserve">GCV of Domestic Oil of the opening Oil stock as per bill of Oil Company
</t>
  </si>
  <si>
    <t>kcal/litre</t>
  </si>
  <si>
    <t>GCV of Domestic Oil supplied as per bill of Oil Company</t>
  </si>
  <si>
    <t xml:space="preserve">GCV of Imported Oil of the opening stock as per bill Oil Company 
</t>
  </si>
  <si>
    <t>GCV of Imported Oil supplied as per bill Oil Company</t>
  </si>
  <si>
    <t>Weighted average GCV of Oil as Billed</t>
  </si>
  <si>
    <t xml:space="preserve">GCV of Domestic Oil of the opening stock as received at Station
</t>
  </si>
  <si>
    <t>GCV of Domestic Oil supplied as received at Station</t>
  </si>
  <si>
    <t xml:space="preserve">GCV of Imported Oil of opening stock as received at Station
</t>
  </si>
  <si>
    <t>GCV of Imported Oil of opening stock as received at Station</t>
  </si>
  <si>
    <t>Weighted average GCV of Oil as Received</t>
  </si>
  <si>
    <t>-</t>
  </si>
  <si>
    <t>Fuel (savings)/charge year end adjustment</t>
  </si>
  <si>
    <t>Fixed charges reduced prorata to actual capitalisation in case of BTPS</t>
  </si>
  <si>
    <t>TGSPDCL (70.55%)</t>
  </si>
  <si>
    <t>TGNPDCL (29.45%)</t>
  </si>
  <si>
    <t>Revised Proposal</t>
  </si>
  <si>
    <t>(enclosed as Annexure)</t>
  </si>
  <si>
    <t>True-Up requirement (normative)</t>
  </si>
  <si>
    <t>True-Up requirement (Normative)</t>
  </si>
  <si>
    <t>FY 2026-27</t>
  </si>
  <si>
    <t>FY 2025-6</t>
  </si>
  <si>
    <t xml:space="preserve">      &lt;KTPS-VI&gt;</t>
  </si>
  <si>
    <t>KTPS-VI</t>
  </si>
  <si>
    <t xml:space="preserve">PROFIT ON SALE OF FIXED ASSETS                    </t>
  </si>
  <si>
    <t>LAND &amp;LAND RIGHTS</t>
  </si>
  <si>
    <t>PLANT AND EQUIPMENT</t>
  </si>
  <si>
    <t>CAPITAL SPARES</t>
  </si>
  <si>
    <t>HYDRAULIC WORKS</t>
  </si>
  <si>
    <t>OTHER CIVIL WORKS</t>
  </si>
  <si>
    <t>FURNITURE &amp; FIXTURES</t>
  </si>
  <si>
    <t>OFFICE EQUIPMENTS</t>
  </si>
  <si>
    <t>Kothagudem Thermal Power Station- VI Stage</t>
  </si>
  <si>
    <t>HFO</t>
  </si>
  <si>
    <t>LDO</t>
  </si>
  <si>
    <t xml:space="preserve">Oil Consumption </t>
  </si>
  <si>
    <t>Oil Consumption value</t>
  </si>
  <si>
    <t>Oil Consumption rate</t>
  </si>
  <si>
    <t>500MW</t>
  </si>
  <si>
    <t>23.10.2011</t>
  </si>
  <si>
    <t>Non-Pit Head</t>
  </si>
  <si>
    <t>Telangana Power Generation Corporation Limited</t>
  </si>
  <si>
    <t>KTPS-VI Stage ( 1 X 500 MW)</t>
  </si>
  <si>
    <t>Financial Year (FY 2024-25)</t>
  </si>
  <si>
    <t xml:space="preserve">Availability during the month </t>
  </si>
  <si>
    <t xml:space="preserve">Actual PLF during the month </t>
  </si>
  <si>
    <t>Non-Tariff Income true-up</t>
  </si>
  <si>
    <t>kcal/KL</t>
  </si>
  <si>
    <t>KTPS-VI Stage</t>
  </si>
  <si>
    <t>Form 3.1:  Statement of Additional Capitalisation after COD</t>
  </si>
  <si>
    <t>FY</t>
  </si>
  <si>
    <t>Name of the package           (BTG, BoP, Civil Works etc.)</t>
  </si>
  <si>
    <t>Name of the work</t>
  </si>
  <si>
    <t>Total estimated cost* (Rs. Crore)</t>
  </si>
  <si>
    <t>Capital expenditure during the year     (Rs. Crore)</t>
  </si>
  <si>
    <t>Capitalisation during the year (Rs. Crore)</t>
  </si>
  <si>
    <t>Asset group under which the capitalisation has been accounted                          (Land, Buldings, etc.)</t>
  </si>
  <si>
    <t>Scope of work</t>
  </si>
  <si>
    <t>Relevant Clause of the TSERC MYT Regulation, 2023 under which the capitalisation has been claimed</t>
  </si>
  <si>
    <t>Justification</t>
  </si>
  <si>
    <t>2024-25</t>
  </si>
  <si>
    <t>BTG</t>
  </si>
  <si>
    <t>Shaft Assembly for ID Fan, Type: NDZV47S</t>
  </si>
  <si>
    <t>Other fixed assets &amp; capital spares</t>
  </si>
  <si>
    <t>Clause 22.3 (i)</t>
  </si>
  <si>
    <t>PO No. 4500025332</t>
  </si>
  <si>
    <t>other civil works</t>
  </si>
  <si>
    <t>Sedmentation Tank</t>
  </si>
  <si>
    <t>PO No. 4900027260</t>
  </si>
  <si>
    <t>2025-26</t>
  </si>
  <si>
    <t xml:space="preserve">Remnant Life Assessment (RLA) Study of Boiler &amp; its auxiliaries and Condition assessment of (CA) of Power Trasnformers of Unit-XI (500MW)  at KTPS-VI </t>
  </si>
  <si>
    <t>As per the Reg.391A of Indian Boiler Regulations, 1950, It is mandatory to carry out RLA study of water tube Boilers after they are in operation for 1,00,000 (One Lakh) hours. The Power Transformers have been in operation since 2011. Hence, It is proposed to carryout RLA of Boiler &amp; Power Transformers of Unit-XI.</t>
  </si>
  <si>
    <t>2026-27</t>
  </si>
  <si>
    <t>KTPS Stage-V&amp;VI- Raising of Additional Ash Pond bunds from Ch: 0M to 3200M and Suraram bund from Ch:4400M to Ch:5450M from EL(+) 115.50M to EL(+) 120.50M  including raising of Wells and Spillway  at  Paloncha, Bhadradri-Kothagudem Dist</t>
  </si>
  <si>
    <t>Ash Pond</t>
  </si>
  <si>
    <t xml:space="preserve"> Raising of Additional Ash Pond bunds from EL(+) 115.50M to EL(+) 120.50M  for deposition of ash generated from KTPS-V Stage (2x250 MW) &amp; KTPS-VI Stage (1x500MW)</t>
  </si>
  <si>
    <t>Clause No.22.3</t>
  </si>
  <si>
    <r>
      <t xml:space="preserve">1. The KTPS V &amp; VI Stages (1000 MW) are having ‘3’ Ash Ponds (AB Ash Pond: 350Acres, Additional Ash Pond: 336Acres, C Ash Pond: 150 Acres) for disposal of ash generated from the Unit Nos.9 &amp; 10 (2x250MW) and Unit No.11 (1x500MW). Out of above ‘3’ Ash Ponds, at present, the AB Ash Pond has been serving for disposal of ash generated from the Unit Nos.9 to 11 of KTPS V &amp; VI Stages. Other ‘2’Ash Ponds i.e., Additional Ash Pond &amp; Ash Pond- ‘C’ were got filled up with ash up to its maximum level of EL (+)115.50M &amp; EL (+) 110.00M respectively. The Ash Pond-‘C’ was abandoned during the year-2010 due to heavy seepages and slips occurred on the bunds and ‘Kanuga’ plantation has been taken up in the above Ash Pond area to prevent flying of ash during heavy wind/gale.
2.  Further, certain quantity of ash generated from KTPS-VII Stage (1x800 MW) is being deposited in to the AB Ash pond of KTPS V &amp; VI Stages, due to delay in completion of ongoing bund raising work of Northern Ash Pond-II. By considering the present Ash disposal from KTPS V Stage (2x250 MW), KTPS VI Stage (1x500 MW) and KTPS VII Stage (1x800MW), the AB Ash Pond will cater the Ash disposal requirement up to March-2026. Hence, it is very much essential to raise the bunds of Additional Ash Pond for deposition of ash generated from KTPS-V Stage (2x250 MW) &amp; KTPS-VI Stage (1x500 MW) from April-2026 onwards.         
3. Admiinistrative approval was accorded  to take up the above work  vide </t>
    </r>
    <r>
      <rPr>
        <sz val="11"/>
        <rFont val="Calibri"/>
        <family val="2"/>
        <scheme val="minor"/>
      </rPr>
      <t>T.G.O.O. No.57/CE/C/Thermal/2025,  Dt:10.07.2025.</t>
    </r>
    <r>
      <rPr>
        <sz val="11"/>
        <color rgb="FFFF0000"/>
        <rFont val="Calibri"/>
        <family val="2"/>
        <scheme val="minor"/>
      </rPr>
      <t xml:space="preserve">
</t>
    </r>
    <r>
      <rPr>
        <sz val="11"/>
        <rFont val="Arial"/>
        <family val="2"/>
      </rPr>
      <t xml:space="preserve">
</t>
    </r>
  </si>
  <si>
    <t>BOP</t>
  </si>
  <si>
    <t>Procurement of 2 Nos Bull Dozers, BD-355 Model BEML make to utilize at KTPS-V &amp; VI Stages</t>
  </si>
  <si>
    <t>Plant and Equipment</t>
  </si>
  <si>
    <t>Supply of 2 Nos Bull Dozers along with Coal blades and commissioning at KTPS-V &amp; VI Stages to utilize at CHP/KTPS- V &amp; VI Stages</t>
  </si>
  <si>
    <t>Clause No. 24</t>
  </si>
  <si>
    <t>Only 2 Nos BD-155 dozers are available at KTPS-V &amp; VI Stages and are not sufficient to meet the coal plant works like stacking at UCCY, feeding to bunkers of 1x500MW and 2x250MW units, consolidation of coal at Stacker/ Re-Claimer (CCY) &amp; Stacker/ Re-Claimer (UCCY)etc., Due to which it is essential at least2 Nos. BD-155 dozers to meet the above mentioned works at CHP, KTPS-V &amp;VI Stage. Earlier 2 Nos. BD-355 dozers are diverted from YTPS &amp; KTPS-VII Stages to KTPS-V &amp; VI stages on returnable basis and these dozers are to be returned to YTPS &amp; KTPS-VII Stages</t>
  </si>
  <si>
    <t>*</t>
  </si>
  <si>
    <t>Total estimated cost to be supported by documentary evidences like work orders, investment approvals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</si>
</sst>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8" formatCode="&quot;$&quot;#,##0.00_);[Red]\(&quot;$&quot;#,##0.00\)"/>
    <numFmt numFmtId="43" formatCode="_(* #,##0.00_);_(* \(#,##0.00\);_(* &quot;-&quot;??_);_(@_)"/>
    <numFmt numFmtId="164" formatCode="_ * #,##0.00_ ;_ * \-#,##0.00_ ;_ * &quot;-&quot;??_ ;_ @_ "/>
    <numFmt numFmtId="165" formatCode="_-* #,##0.00_-;\-* #,##0.00_-;_-* &quot;-&quot;??_-;_-@_-"/>
    <numFmt numFmtId="166" formatCode="0.00_)"/>
    <numFmt numFmtId="167" formatCode="&quot;ß&quot;#,##0.00_);\(&quot;ß&quot;#,##0.00\)"/>
    <numFmt numFmtId="168" formatCode="0.0"/>
    <numFmt numFmtId="169" formatCode="0.000"/>
    <numFmt numFmtId="170" formatCode="0.00000000000"/>
    <numFmt numFmtId="171" formatCode="dd\.mm\.yyyy"/>
    <numFmt numFmtId="172" formatCode="_ * #,##0.000_ ;_ * \-#,##0.000_ ;_ * &quot;-&quot;???_ ;_ @_ "/>
    <numFmt numFmtId="173" formatCode="_(* #,##0.000_);_(* \(#,##0.000\);_(* &quot;-&quot;??_);_(@_)"/>
    <numFmt numFmtId="174" formatCode="_ &quot;రూ&quot;\ * #,##0.00_ ;_ &quot;రూ&quot;\ * \-#,##0.00_ ;_ &quot;రూ&quot;\ * &quot;-&quot;??_ ;_ @_ "/>
    <numFmt numFmtId="175" formatCode="0.000%"/>
    <numFmt numFmtId="176" formatCode="0.000000"/>
    <numFmt numFmtId="177" formatCode="0.0000"/>
    <numFmt numFmtId="178" formatCode="0.000000000000"/>
    <numFmt numFmtId="179" formatCode="0.00000000000000000000000E+00"/>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vertAlign val="superscript"/>
      <sz val="11"/>
      <name val="Arial"/>
      <family val="2"/>
    </font>
    <font>
      <sz val="11"/>
      <color theme="1"/>
      <name val="Arial"/>
      <family val="2"/>
    </font>
    <font>
      <b/>
      <sz val="11"/>
      <color theme="1"/>
      <name val="Arial"/>
      <family val="2"/>
    </font>
    <font>
      <b/>
      <sz val="11"/>
      <color indexed="9"/>
      <name val="Arial"/>
      <family val="2"/>
    </font>
    <font>
      <sz val="10"/>
      <name val="Arial"/>
      <family val="2"/>
    </font>
    <font>
      <u/>
      <sz val="11"/>
      <color theme="10"/>
      <name val="Calibri"/>
      <family val="2"/>
    </font>
    <font>
      <sz val="11"/>
      <color rgb="FF000000"/>
      <name val="Calibri"/>
      <family val="2"/>
      <scheme val="minor"/>
    </font>
    <font>
      <b/>
      <sz val="10"/>
      <name val="Arial"/>
      <family val="2"/>
    </font>
    <font>
      <sz val="13"/>
      <name val="Calibri"/>
      <family val="2"/>
      <scheme val="minor"/>
    </font>
    <font>
      <b/>
      <sz val="13"/>
      <name val="Calibri"/>
      <family val="2"/>
      <scheme val="minor"/>
    </font>
    <font>
      <sz val="14"/>
      <name val="Arial"/>
      <family val="2"/>
    </font>
    <font>
      <b/>
      <sz val="14"/>
      <name val="Arial"/>
      <family val="2"/>
    </font>
    <font>
      <b/>
      <sz val="13"/>
      <name val="Arial"/>
      <family val="2"/>
    </font>
    <font>
      <sz val="11"/>
      <color rgb="FFFF0000"/>
      <name val="Arial"/>
      <family val="2"/>
    </font>
    <font>
      <sz val="12"/>
      <color theme="1"/>
      <name val="Calibri"/>
      <family val="2"/>
      <scheme val="minor"/>
    </font>
    <font>
      <b/>
      <sz val="11"/>
      <color theme="1"/>
      <name val="Calibri"/>
      <family val="2"/>
      <scheme val="minor"/>
    </font>
    <font>
      <sz val="10"/>
      <color rgb="FF000000"/>
      <name val="Times New Roman"/>
      <family val="1"/>
    </font>
    <font>
      <b/>
      <sz val="13"/>
      <name val="Calibri"/>
      <family val="2"/>
    </font>
    <font>
      <sz val="11"/>
      <color rgb="FFFF0000"/>
      <name val="Calibri"/>
      <family val="2"/>
      <scheme val="minor"/>
    </font>
    <font>
      <b/>
      <sz val="11"/>
      <color rgb="FFFF0000"/>
      <name val="Arial"/>
      <family val="2"/>
    </font>
    <font>
      <sz val="11"/>
      <name val="Calibri"/>
      <family val="2"/>
      <scheme val="minor"/>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s>
  <borders count="20">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s>
  <cellStyleXfs count="498">
    <xf numFmtId="0" fontId="0" fillId="0" borderId="0"/>
    <xf numFmtId="0" fontId="12" fillId="0" borderId="0" applyNumberFormat="0" applyFill="0" applyBorder="0" applyAlignment="0" applyProtection="0"/>
    <xf numFmtId="0" fontId="13" fillId="0" borderId="1"/>
    <xf numFmtId="0" fontId="13" fillId="0" borderId="1"/>
    <xf numFmtId="38" fontId="14" fillId="2" borderId="0" applyNumberFormat="0" applyBorder="0" applyAlignment="0" applyProtection="0"/>
    <xf numFmtId="0" fontId="15" fillId="0" borderId="2" applyNumberFormat="0" applyAlignment="0" applyProtection="0">
      <alignment horizontal="left" vertical="center"/>
    </xf>
    <xf numFmtId="0" fontId="15" fillId="0" borderId="3">
      <alignment horizontal="left" vertical="center"/>
    </xf>
    <xf numFmtId="10" fontId="14" fillId="3" borderId="4" applyNumberFormat="0" applyBorder="0" applyAlignment="0" applyProtection="0"/>
    <xf numFmtId="37" fontId="16" fillId="0" borderId="0"/>
    <xf numFmtId="166" fontId="17" fillId="0" borderId="0"/>
    <xf numFmtId="0" fontId="11" fillId="0" borderId="0"/>
    <xf numFmtId="0" fontId="11" fillId="0" borderId="0"/>
    <xf numFmtId="0" fontId="9" fillId="0" borderId="0"/>
    <xf numFmtId="0" fontId="9" fillId="0" borderId="0"/>
    <xf numFmtId="0" fontId="11" fillId="0" borderId="0">
      <alignment vertical="center"/>
    </xf>
    <xf numFmtId="167" fontId="11" fillId="0" borderId="0" applyFont="0" applyFill="0" applyBorder="0" applyAlignment="0" applyProtection="0"/>
    <xf numFmtId="10" fontId="11" fillId="0" borderId="0" applyFont="0" applyFill="0" applyBorder="0" applyAlignment="0" applyProtection="0"/>
    <xf numFmtId="0" fontId="11" fillId="0" borderId="0"/>
    <xf numFmtId="0" fontId="19" fillId="0" borderId="0"/>
    <xf numFmtId="43" fontId="19" fillId="0" borderId="0" applyFont="0" applyFill="0" applyBorder="0" applyAlignment="0" applyProtection="0"/>
    <xf numFmtId="9" fontId="19" fillId="0" borderId="0" applyFont="0" applyFill="0" applyBorder="0" applyAlignment="0" applyProtection="0"/>
    <xf numFmtId="165" fontId="20" fillId="0" borderId="0" applyFont="0" applyFill="0" applyBorder="0" applyAlignment="0" applyProtection="0"/>
    <xf numFmtId="0" fontId="21" fillId="0" borderId="0"/>
    <xf numFmtId="9"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1" fillId="0" borderId="0" applyFont="0" applyFill="0" applyBorder="0" applyAlignment="0" applyProtection="0"/>
    <xf numFmtId="164" fontId="20" fillId="0" borderId="0" applyFont="0" applyFill="0" applyBorder="0" applyAlignment="0" applyProtection="0"/>
    <xf numFmtId="0" fontId="11" fillId="0" borderId="0"/>
    <xf numFmtId="0" fontId="11" fillId="0" borderId="0"/>
    <xf numFmtId="0" fontId="11" fillId="0" borderId="0"/>
    <xf numFmtId="0" fontId="11" fillId="0" borderId="0"/>
    <xf numFmtId="0" fontId="19" fillId="0" borderId="0"/>
    <xf numFmtId="0" fontId="20" fillId="0" borderId="0"/>
    <xf numFmtId="0" fontId="20" fillId="0" borderId="0"/>
    <xf numFmtId="0" fontId="19"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43" fontId="22"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1" fillId="0" borderId="0"/>
    <xf numFmtId="0" fontId="11" fillId="0" borderId="0"/>
    <xf numFmtId="0" fontId="9" fillId="0" borderId="0"/>
    <xf numFmtId="0" fontId="11" fillId="0" borderId="0" applyBorder="0" applyProtection="0"/>
    <xf numFmtId="167" fontId="20" fillId="0" borderId="0" applyFont="0" applyFill="0" applyBorder="0" applyAlignment="0" applyProtection="0"/>
    <xf numFmtId="0" fontId="11" fillId="0" borderId="0"/>
    <xf numFmtId="0" fontId="11" fillId="0" borderId="0"/>
    <xf numFmtId="0" fontId="11" fillId="0" borderId="0"/>
    <xf numFmtId="9" fontId="11" fillId="0" borderId="0" applyFont="0" applyFill="0" applyBorder="0" applyAlignment="0" applyProtection="0"/>
    <xf numFmtId="0" fontId="8" fillId="0" borderId="0"/>
    <xf numFmtId="43" fontId="8" fillId="0" borderId="0" applyFont="0" applyFill="0" applyBorder="0" applyAlignment="0" applyProtection="0"/>
    <xf numFmtId="165" fontId="11"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0" fontId="7" fillId="0" borderId="0"/>
    <xf numFmtId="0" fontId="7" fillId="0" borderId="0"/>
    <xf numFmtId="0" fontId="6" fillId="0" borderId="0"/>
    <xf numFmtId="0" fontId="5" fillId="0" borderId="0"/>
    <xf numFmtId="164" fontId="29"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2"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74" fontId="11" fillId="0" borderId="0" applyFont="0" applyFill="0" applyBorder="0" applyAlignment="0" applyProtection="0"/>
    <xf numFmtId="0" fontId="30"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0" fontId="4"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174" fontId="11"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69" fontId="4" fillId="0" borderId="0" applyFont="0" applyFill="0" applyBorder="0" applyAlignment="0" applyProtection="0"/>
    <xf numFmtId="164" fontId="4" fillId="0" borderId="0" applyFont="0" applyFill="0" applyBorder="0" applyAlignment="0" applyProtection="0"/>
    <xf numFmtId="171" fontId="11"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164" fontId="4" fillId="0" borderId="0" applyFont="0" applyFill="0" applyBorder="0" applyAlignment="0" applyProtection="0"/>
    <xf numFmtId="169" fontId="4" fillId="0" borderId="0" applyFont="0" applyFill="0" applyBorder="0" applyAlignment="0" applyProtection="0"/>
    <xf numFmtId="164" fontId="4" fillId="0" borderId="0" applyFont="0" applyFill="0" applyBorder="0" applyAlignment="0" applyProtection="0"/>
    <xf numFmtId="171" fontId="11"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31" fillId="0" borderId="0"/>
    <xf numFmtId="0" fontId="31" fillId="0" borderId="0"/>
    <xf numFmtId="0" fontId="4" fillId="0" borderId="0"/>
    <xf numFmtId="0" fontId="31"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8"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0" fontId="4"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31" fillId="0" borderId="0"/>
    <xf numFmtId="0" fontId="4" fillId="0" borderId="0" applyFont="0" applyFill="0" applyBorder="0" applyAlignment="0" applyProtection="0"/>
    <xf numFmtId="0" fontId="4" fillId="0" borderId="0"/>
    <xf numFmtId="0" fontId="31"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174" fontId="11" fillId="0" borderId="0" applyFont="0" applyFill="0" applyBorder="0" applyAlignment="0" applyProtection="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0" fontId="4" fillId="0" borderId="0"/>
    <xf numFmtId="0" fontId="11"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0" fontId="11" fillId="0" borderId="0"/>
    <xf numFmtId="0" fontId="4" fillId="0" borderId="0"/>
    <xf numFmtId="0" fontId="4" fillId="0" borderId="0"/>
    <xf numFmtId="0" fontId="4" fillId="0" borderId="0"/>
    <xf numFmtId="0" fontId="4"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0"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164" fontId="3"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11" fillId="0" borderId="0"/>
    <xf numFmtId="0" fontId="11" fillId="0" borderId="0"/>
    <xf numFmtId="0" fontId="11" fillId="0" borderId="0"/>
    <xf numFmtId="164" fontId="2" fillId="0" borderId="0" applyFont="0" applyFill="0" applyBorder="0" applyAlignment="0" applyProtection="0"/>
    <xf numFmtId="0" fontId="41"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41" fillId="0" borderId="0"/>
    <xf numFmtId="0" fontId="11" fillId="0" borderId="0"/>
    <xf numFmtId="0" fontId="11" fillId="0" borderId="0"/>
    <xf numFmtId="0" fontId="11" fillId="0" borderId="0"/>
  </cellStyleXfs>
  <cellXfs count="366">
    <xf numFmtId="0" fontId="0" fillId="0" borderId="0" xfId="0"/>
    <xf numFmtId="0" fontId="10" fillId="0" borderId="0" xfId="10" applyFont="1" applyAlignment="1">
      <alignment horizontal="center" vertical="center"/>
    </xf>
    <xf numFmtId="0" fontId="18" fillId="0" borderId="4" xfId="14" applyFont="1" applyBorder="1" applyAlignment="1">
      <alignment horizontal="center" vertical="center"/>
    </xf>
    <xf numFmtId="0" fontId="18" fillId="0" borderId="4" xfId="14" applyFont="1" applyBorder="1">
      <alignment vertical="center"/>
    </xf>
    <xf numFmtId="0" fontId="18" fillId="0" borderId="0" xfId="10" applyFont="1"/>
    <xf numFmtId="0" fontId="18" fillId="0" borderId="0" xfId="10" applyFont="1" applyAlignment="1">
      <alignment vertical="center"/>
    </xf>
    <xf numFmtId="0" fontId="10" fillId="0" borderId="0" xfId="14" applyFont="1">
      <alignment vertical="center"/>
    </xf>
    <xf numFmtId="0" fontId="10" fillId="0" borderId="4" xfId="14" applyFont="1" applyBorder="1" applyAlignment="1">
      <alignment horizontal="center" vertical="center"/>
    </xf>
    <xf numFmtId="0" fontId="10" fillId="0" borderId="4" xfId="14" applyFont="1" applyBorder="1" applyAlignment="1">
      <alignment horizontal="left" vertical="center"/>
    </xf>
    <xf numFmtId="0" fontId="10" fillId="0" borderId="4" xfId="14" applyFont="1" applyBorder="1" applyAlignment="1">
      <alignment vertical="top" wrapText="1"/>
    </xf>
    <xf numFmtId="0" fontId="10" fillId="0" borderId="0" xfId="10" applyFont="1"/>
    <xf numFmtId="0" fontId="15" fillId="0" borderId="8" xfId="14" applyFont="1" applyBorder="1" applyAlignment="1">
      <alignment horizontal="center" vertical="center"/>
    </xf>
    <xf numFmtId="0" fontId="15" fillId="0" borderId="4" xfId="14" applyFont="1" applyBorder="1" applyAlignment="1">
      <alignment horizontal="center" vertical="center"/>
    </xf>
    <xf numFmtId="0" fontId="18" fillId="0" borderId="0" xfId="14" applyFont="1">
      <alignment vertical="center"/>
    </xf>
    <xf numFmtId="0" fontId="23" fillId="0" borderId="4" xfId="14" applyFont="1" applyBorder="1" applyAlignment="1">
      <alignment horizontal="center" vertical="center"/>
    </xf>
    <xf numFmtId="0" fontId="23" fillId="0" borderId="4" xfId="14" applyFont="1" applyBorder="1" applyAlignment="1">
      <alignment horizontal="center" vertical="center" wrapText="1"/>
    </xf>
    <xf numFmtId="0" fontId="18" fillId="0" borderId="4" xfId="14" applyFont="1" applyBorder="1" applyAlignment="1">
      <alignment horizontal="left" vertical="center"/>
    </xf>
    <xf numFmtId="0" fontId="18" fillId="5" borderId="4" xfId="14" applyFont="1" applyFill="1" applyBorder="1" applyAlignment="1">
      <alignment horizontal="left" vertical="center"/>
    </xf>
    <xf numFmtId="0" fontId="18" fillId="0" borderId="4" xfId="14" applyFont="1" applyBorder="1" applyAlignment="1">
      <alignment vertical="top" wrapText="1"/>
    </xf>
    <xf numFmtId="0" fontId="23" fillId="0" borderId="4" xfId="14" applyFont="1" applyBorder="1">
      <alignment vertical="center"/>
    </xf>
    <xf numFmtId="0" fontId="18" fillId="0" borderId="4" xfId="10" applyFont="1" applyBorder="1" applyAlignment="1">
      <alignment horizontal="center" vertical="center"/>
    </xf>
    <xf numFmtId="0" fontId="18" fillId="0" borderId="4" xfId="10" applyFont="1" applyBorder="1" applyAlignment="1">
      <alignment horizontal="center" vertical="center" wrapText="1"/>
    </xf>
    <xf numFmtId="0" fontId="23" fillId="0" borderId="7" xfId="10" applyFont="1" applyBorder="1" applyAlignment="1">
      <alignment horizontal="center" vertical="center" wrapText="1"/>
    </xf>
    <xf numFmtId="0" fontId="23" fillId="0" borderId="4" xfId="10" applyFont="1" applyBorder="1" applyAlignment="1">
      <alignment horizontal="center" vertical="center"/>
    </xf>
    <xf numFmtId="0" fontId="23" fillId="0" borderId="0" xfId="10" applyFont="1" applyAlignment="1">
      <alignment horizontal="left" vertical="center"/>
    </xf>
    <xf numFmtId="0" fontId="23" fillId="0" borderId="0" xfId="10" applyFont="1" applyAlignment="1">
      <alignment horizontal="right" vertical="center"/>
    </xf>
    <xf numFmtId="0" fontId="23" fillId="0" borderId="0" xfId="14" applyFont="1" applyAlignment="1">
      <alignment horizontal="right" vertical="center"/>
    </xf>
    <xf numFmtId="0" fontId="18" fillId="0" borderId="4" xfId="10" applyFont="1" applyBorder="1" applyAlignment="1">
      <alignment vertical="center"/>
    </xf>
    <xf numFmtId="0" fontId="18" fillId="0" borderId="4" xfId="0" applyFont="1" applyBorder="1" applyAlignment="1">
      <alignment vertical="center"/>
    </xf>
    <xf numFmtId="0" fontId="18" fillId="0" borderId="4" xfId="10" applyFont="1" applyBorder="1" applyAlignment="1">
      <alignment horizontal="left" vertical="center"/>
    </xf>
    <xf numFmtId="0" fontId="23" fillId="0" borderId="4" xfId="10" applyFont="1" applyBorder="1" applyAlignment="1">
      <alignment horizontal="left" vertical="center" wrapText="1"/>
    </xf>
    <xf numFmtId="0" fontId="23" fillId="0" borderId="4" xfId="10" applyFont="1" applyBorder="1" applyAlignment="1">
      <alignment horizontal="center" vertical="center" wrapText="1"/>
    </xf>
    <xf numFmtId="0" fontId="23" fillId="0" borderId="0" xfId="10" applyFont="1" applyAlignment="1">
      <alignment vertical="center"/>
    </xf>
    <xf numFmtId="0" fontId="23" fillId="0" borderId="0" xfId="14" applyFont="1" applyAlignment="1">
      <alignment horizontal="center" vertical="center"/>
    </xf>
    <xf numFmtId="0" fontId="18" fillId="0" borderId="0" xfId="10" applyFont="1" applyAlignment="1">
      <alignment horizontal="center" vertical="center"/>
    </xf>
    <xf numFmtId="0" fontId="23" fillId="0" borderId="0" xfId="10" applyFont="1" applyAlignment="1">
      <alignment horizontal="center" vertical="center"/>
    </xf>
    <xf numFmtId="0" fontId="23" fillId="0" borderId="0" xfId="14" applyFont="1">
      <alignment vertical="center"/>
    </xf>
    <xf numFmtId="0" fontId="18" fillId="0" borderId="4" xfId="10" applyFont="1" applyBorder="1" applyAlignment="1">
      <alignment horizontal="left" vertical="center" wrapText="1"/>
    </xf>
    <xf numFmtId="0" fontId="23" fillId="0" borderId="0" xfId="14" applyFont="1" applyAlignment="1">
      <alignment horizontal="center" vertical="center" wrapText="1"/>
    </xf>
    <xf numFmtId="0" fontId="23" fillId="0" borderId="4" xfId="10" applyFont="1" applyBorder="1" applyAlignment="1">
      <alignment vertical="center"/>
    </xf>
    <xf numFmtId="0" fontId="18" fillId="0" borderId="4" xfId="10" applyFont="1" applyBorder="1" applyAlignment="1">
      <alignment horizontal="right" vertical="center"/>
    </xf>
    <xf numFmtId="0" fontId="23" fillId="0" borderId="0" xfId="10" applyFont="1" applyAlignment="1">
      <alignment horizontal="centerContinuous"/>
    </xf>
    <xf numFmtId="0" fontId="18" fillId="0" borderId="0" xfId="10" applyFont="1" applyAlignment="1">
      <alignment horizontal="centerContinuous"/>
    </xf>
    <xf numFmtId="0" fontId="18" fillId="0" borderId="4" xfId="10" applyFont="1" applyBorder="1"/>
    <xf numFmtId="0" fontId="23" fillId="0" borderId="4" xfId="10" applyFont="1" applyBorder="1"/>
    <xf numFmtId="0" fontId="23" fillId="0" borderId="0" xfId="10" applyFont="1" applyAlignment="1">
      <alignment horizontal="justify" vertical="top" wrapText="1"/>
    </xf>
    <xf numFmtId="0" fontId="18" fillId="0" borderId="0" xfId="10" applyFont="1" applyAlignment="1">
      <alignment horizontal="left"/>
    </xf>
    <xf numFmtId="0" fontId="18" fillId="0" borderId="4" xfId="10" applyFont="1" applyBorder="1" applyAlignment="1">
      <alignment wrapText="1"/>
    </xf>
    <xf numFmtId="0" fontId="18" fillId="0" borderId="0" xfId="10" applyFont="1" applyAlignment="1">
      <alignment horizontal="left" vertical="center"/>
    </xf>
    <xf numFmtId="0" fontId="18" fillId="0" borderId="0" xfId="10" applyFont="1" applyAlignment="1">
      <alignment horizontal="right" vertical="center"/>
    </xf>
    <xf numFmtId="0" fontId="24" fillId="0" borderId="0" xfId="10" applyFont="1" applyAlignment="1">
      <alignment horizontal="left" vertical="center"/>
    </xf>
    <xf numFmtId="0" fontId="24" fillId="0" borderId="0" xfId="10" applyFont="1" applyAlignment="1">
      <alignment vertical="center"/>
    </xf>
    <xf numFmtId="0" fontId="24" fillId="0" borderId="0" xfId="10" applyFont="1" applyAlignment="1">
      <alignment horizontal="center" vertical="center"/>
    </xf>
    <xf numFmtId="0" fontId="18" fillId="0" borderId="4" xfId="10" quotePrefix="1" applyFont="1" applyBorder="1" applyAlignment="1">
      <alignment horizontal="left" vertical="top" wrapText="1"/>
    </xf>
    <xf numFmtId="0" fontId="18" fillId="0" borderId="4" xfId="10" applyFont="1" applyBorder="1" applyAlignment="1">
      <alignment horizontal="left"/>
    </xf>
    <xf numFmtId="0" fontId="23" fillId="0" borderId="4" xfId="10" applyFont="1" applyBorder="1" applyAlignment="1">
      <alignment horizontal="left"/>
    </xf>
    <xf numFmtId="0" fontId="18" fillId="0" borderId="0" xfId="14" applyFont="1" applyAlignment="1">
      <alignment horizontal="center" vertical="center"/>
    </xf>
    <xf numFmtId="0" fontId="18" fillId="0" borderId="4" xfId="10" applyFont="1" applyBorder="1" applyAlignment="1">
      <alignment horizontal="left" vertical="top" wrapText="1"/>
    </xf>
    <xf numFmtId="0" fontId="23" fillId="0" borderId="0" xfId="10" applyFont="1" applyAlignment="1">
      <alignment horizontal="left"/>
    </xf>
    <xf numFmtId="0" fontId="23" fillId="0" borderId="0" xfId="10" applyFont="1" applyAlignment="1">
      <alignment horizontal="right"/>
    </xf>
    <xf numFmtId="0" fontId="23" fillId="0" borderId="0" xfId="10" applyFont="1" applyAlignment="1">
      <alignment horizontal="left" vertical="center" wrapText="1"/>
    </xf>
    <xf numFmtId="0" fontId="23" fillId="0" borderId="0" xfId="10" applyFont="1" applyAlignment="1">
      <alignment horizontal="center" vertical="center" wrapText="1"/>
    </xf>
    <xf numFmtId="0" fontId="18" fillId="0" borderId="7" xfId="10" applyFont="1" applyBorder="1" applyAlignment="1">
      <alignment horizontal="center" vertical="center"/>
    </xf>
    <xf numFmtId="0" fontId="24" fillId="0" borderId="0" xfId="10" applyFont="1" applyAlignment="1">
      <alignment horizontal="right" vertical="center"/>
    </xf>
    <xf numFmtId="0" fontId="18" fillId="0" borderId="0" xfId="10" applyFont="1" applyAlignment="1">
      <alignment horizontal="center"/>
    </xf>
    <xf numFmtId="0" fontId="23" fillId="4" borderId="13" xfId="67" applyFont="1" applyFill="1" applyBorder="1" applyAlignment="1">
      <alignment horizontal="center" vertical="center" wrapText="1"/>
    </xf>
    <xf numFmtId="0" fontId="23" fillId="4" borderId="14" xfId="67" applyFont="1" applyFill="1" applyBorder="1" applyAlignment="1">
      <alignment horizontal="center" vertical="center" wrapText="1"/>
    </xf>
    <xf numFmtId="0" fontId="15" fillId="0" borderId="0" xfId="14" applyFont="1" applyAlignment="1">
      <alignment horizontal="center" vertical="center"/>
    </xf>
    <xf numFmtId="0" fontId="18" fillId="0" borderId="4" xfId="10" applyFont="1" applyBorder="1" applyAlignment="1">
      <alignment vertical="center" wrapText="1"/>
    </xf>
    <xf numFmtId="0" fontId="18" fillId="0" borderId="9" xfId="14" applyFont="1" applyBorder="1">
      <alignment vertical="center"/>
    </xf>
    <xf numFmtId="0" fontId="23" fillId="0" borderId="4" xfId="10" applyFont="1" applyBorder="1" applyAlignment="1">
      <alignment vertical="center" wrapText="1"/>
    </xf>
    <xf numFmtId="0" fontId="23" fillId="4" borderId="4" xfId="14" applyFont="1" applyFill="1" applyBorder="1" applyAlignment="1">
      <alignment horizontal="center" vertical="center" wrapText="1"/>
    </xf>
    <xf numFmtId="0" fontId="23" fillId="0" borderId="0" xfId="10" applyFont="1" applyAlignment="1">
      <alignment horizontal="centerContinuous" vertical="center"/>
    </xf>
    <xf numFmtId="0" fontId="23" fillId="4" borderId="4" xfId="10" quotePrefix="1" applyFont="1" applyFill="1" applyBorder="1" applyAlignment="1">
      <alignment horizontal="center" vertical="center" wrapText="1"/>
    </xf>
    <xf numFmtId="0" fontId="23" fillId="4" borderId="4" xfId="10" applyFont="1" applyFill="1" applyBorder="1" applyAlignment="1">
      <alignment horizontal="left" vertical="center" wrapText="1"/>
    </xf>
    <xf numFmtId="0" fontId="23" fillId="4" borderId="4" xfId="10" applyFont="1" applyFill="1" applyBorder="1" applyAlignment="1">
      <alignment horizontal="center" vertical="center"/>
    </xf>
    <xf numFmtId="0" fontId="18" fillId="4" borderId="4" xfId="14" applyFont="1" applyFill="1" applyBorder="1">
      <alignment vertical="center"/>
    </xf>
    <xf numFmtId="0" fontId="18" fillId="4" borderId="4" xfId="10" applyFont="1" applyFill="1" applyBorder="1" applyAlignment="1">
      <alignment horizontal="center" vertical="center"/>
    </xf>
    <xf numFmtId="0" fontId="18" fillId="4" borderId="4" xfId="10" applyFont="1" applyFill="1" applyBorder="1" applyAlignment="1">
      <alignment vertical="center" wrapText="1"/>
    </xf>
    <xf numFmtId="0" fontId="23" fillId="4" borderId="4" xfId="10" applyFont="1" applyFill="1" applyBorder="1" applyAlignment="1">
      <alignment vertical="center" wrapText="1"/>
    </xf>
    <xf numFmtId="0" fontId="18" fillId="4" borderId="4" xfId="10" applyFont="1" applyFill="1" applyBorder="1" applyAlignment="1">
      <alignment vertical="center"/>
    </xf>
    <xf numFmtId="0" fontId="23" fillId="4" borderId="0" xfId="10" applyFont="1" applyFill="1" applyAlignment="1">
      <alignment vertical="center"/>
    </xf>
    <xf numFmtId="0" fontId="18" fillId="4" borderId="0" xfId="10" applyFont="1" applyFill="1" applyAlignment="1">
      <alignment vertical="center"/>
    </xf>
    <xf numFmtId="166" fontId="18" fillId="0" borderId="0" xfId="10" applyNumberFormat="1" applyFont="1" applyAlignment="1">
      <alignment vertical="center"/>
    </xf>
    <xf numFmtId="0" fontId="23" fillId="0" borderId="0" xfId="14" applyFont="1" applyAlignment="1">
      <alignment horizontal="left" vertical="center" wrapText="1"/>
    </xf>
    <xf numFmtId="0" fontId="25" fillId="0" borderId="0" xfId="10" applyFont="1" applyAlignment="1">
      <alignment horizontal="left" vertical="center"/>
    </xf>
    <xf numFmtId="0" fontId="18" fillId="0" borderId="0" xfId="0" applyFont="1" applyAlignment="1">
      <alignment vertical="center"/>
    </xf>
    <xf numFmtId="0" fontId="23" fillId="0" borderId="4" xfId="0" applyFont="1" applyBorder="1" applyAlignment="1">
      <alignment horizontal="center" vertical="center"/>
    </xf>
    <xf numFmtId="0" fontId="18" fillId="0" borderId="4" xfId="0" applyFont="1" applyBorder="1" applyAlignment="1">
      <alignment horizontal="center" vertical="center"/>
    </xf>
    <xf numFmtId="0" fontId="23" fillId="0" borderId="4" xfId="0" applyFont="1" applyBorder="1" applyAlignment="1">
      <alignment vertical="center"/>
    </xf>
    <xf numFmtId="0" fontId="26" fillId="0" borderId="4" xfId="0" applyFont="1" applyBorder="1" applyAlignment="1">
      <alignment vertical="center"/>
    </xf>
    <xf numFmtId="0" fontId="26" fillId="0" borderId="7" xfId="0" applyFont="1" applyBorder="1" applyAlignment="1">
      <alignment vertical="center"/>
    </xf>
    <xf numFmtId="0" fontId="27" fillId="0" borderId="4" xfId="0" applyFont="1" applyBorder="1" applyAlignment="1">
      <alignment horizontal="center" vertical="center"/>
    </xf>
    <xf numFmtId="0" fontId="26" fillId="0" borderId="4" xfId="0" applyFont="1" applyBorder="1" applyAlignment="1">
      <alignment horizontal="center" vertical="center"/>
    </xf>
    <xf numFmtId="0" fontId="26" fillId="0" borderId="7" xfId="0" applyFont="1" applyBorder="1" applyAlignment="1">
      <alignment horizontal="center" vertical="center"/>
    </xf>
    <xf numFmtId="0" fontId="28" fillId="0" borderId="0" xfId="10" applyFont="1" applyAlignment="1">
      <alignment vertical="center"/>
    </xf>
    <xf numFmtId="2" fontId="18" fillId="0" borderId="4" xfId="0" applyNumberFormat="1" applyFont="1" applyBorder="1" applyAlignment="1">
      <alignment vertical="center"/>
    </xf>
    <xf numFmtId="1" fontId="18" fillId="0" borderId="4" xfId="0" applyNumberFormat="1" applyFont="1" applyBorder="1" applyAlignment="1">
      <alignment vertical="center"/>
    </xf>
    <xf numFmtId="2" fontId="23" fillId="0" borderId="4" xfId="0" applyNumberFormat="1" applyFont="1" applyBorder="1" applyAlignment="1">
      <alignment vertical="center"/>
    </xf>
    <xf numFmtId="2" fontId="18" fillId="0" borderId="4" xfId="10" applyNumberFormat="1" applyFont="1" applyBorder="1" applyAlignment="1">
      <alignment horizontal="center" vertical="center"/>
    </xf>
    <xf numFmtId="2" fontId="23" fillId="6" borderId="4" xfId="0" applyNumberFormat="1" applyFont="1" applyFill="1" applyBorder="1" applyAlignment="1">
      <alignment vertical="center"/>
    </xf>
    <xf numFmtId="2" fontId="23" fillId="0" borderId="4" xfId="10" applyNumberFormat="1" applyFont="1" applyBorder="1" applyAlignment="1">
      <alignment horizontal="center" vertical="center" wrapText="1"/>
    </xf>
    <xf numFmtId="2" fontId="18" fillId="0" borderId="4" xfId="10" applyNumberFormat="1" applyFont="1" applyBorder="1" applyAlignment="1">
      <alignment horizontal="center" vertical="center" wrapText="1"/>
    </xf>
    <xf numFmtId="2" fontId="23" fillId="6" borderId="4" xfId="14" applyNumberFormat="1" applyFont="1" applyFill="1" applyBorder="1">
      <alignment vertical="center"/>
    </xf>
    <xf numFmtId="0" fontId="23" fillId="0" borderId="9" xfId="14" applyFont="1" applyBorder="1">
      <alignment vertical="center"/>
    </xf>
    <xf numFmtId="2" fontId="23" fillId="6" borderId="9" xfId="14" applyNumberFormat="1" applyFont="1" applyFill="1" applyBorder="1">
      <alignment vertical="center"/>
    </xf>
    <xf numFmtId="10" fontId="18" fillId="0" borderId="9" xfId="14" applyNumberFormat="1" applyFont="1" applyBorder="1">
      <alignment vertical="center"/>
    </xf>
    <xf numFmtId="2" fontId="18" fillId="0" borderId="9" xfId="14" applyNumberFormat="1" applyFont="1" applyBorder="1">
      <alignment vertical="center"/>
    </xf>
    <xf numFmtId="2" fontId="18" fillId="0" borderId="4" xfId="10" applyNumberFormat="1" applyFont="1" applyBorder="1" applyAlignment="1">
      <alignment vertical="center"/>
    </xf>
    <xf numFmtId="2" fontId="18" fillId="0" borderId="4" xfId="14" applyNumberFormat="1" applyFont="1" applyBorder="1" applyAlignment="1">
      <alignment horizontal="center" vertical="center"/>
    </xf>
    <xf numFmtId="2" fontId="23" fillId="6" borderId="4" xfId="14" applyNumberFormat="1" applyFont="1" applyFill="1" applyBorder="1" applyAlignment="1">
      <alignment horizontal="center" vertical="center"/>
    </xf>
    <xf numFmtId="10" fontId="23" fillId="6" borderId="4" xfId="14" applyNumberFormat="1" applyFont="1" applyFill="1" applyBorder="1">
      <alignment vertical="center"/>
    </xf>
    <xf numFmtId="2" fontId="23" fillId="6" borderId="4" xfId="10" applyNumberFormat="1" applyFont="1" applyFill="1" applyBorder="1"/>
    <xf numFmtId="2" fontId="18" fillId="0" borderId="4" xfId="10" applyNumberFormat="1" applyFont="1" applyBorder="1" applyAlignment="1">
      <alignment horizontal="right" vertical="center"/>
    </xf>
    <xf numFmtId="2" fontId="23" fillId="0" borderId="4" xfId="14" applyNumberFormat="1" applyFont="1" applyBorder="1" applyAlignment="1">
      <alignment horizontal="center" vertical="center"/>
    </xf>
    <xf numFmtId="0" fontId="18" fillId="0" borderId="4" xfId="14" applyFont="1" applyBorder="1" applyAlignment="1">
      <alignment horizontal="right" vertical="center"/>
    </xf>
    <xf numFmtId="2" fontId="18" fillId="0" borderId="4" xfId="14" applyNumberFormat="1" applyFont="1" applyBorder="1" applyAlignment="1">
      <alignment horizontal="right" vertical="center"/>
    </xf>
    <xf numFmtId="0" fontId="18" fillId="0" borderId="4" xfId="10" applyFont="1" applyBorder="1" applyAlignment="1">
      <alignment horizontal="right" vertical="center" wrapText="1"/>
    </xf>
    <xf numFmtId="2" fontId="18" fillId="0" borderId="4" xfId="10" applyNumberFormat="1" applyFont="1" applyBorder="1" applyAlignment="1">
      <alignment horizontal="right" vertical="center" wrapText="1"/>
    </xf>
    <xf numFmtId="0" fontId="18" fillId="0" borderId="9" xfId="14" applyFont="1" applyBorder="1" applyAlignment="1">
      <alignment horizontal="right" vertical="center"/>
    </xf>
    <xf numFmtId="2" fontId="23" fillId="6" borderId="9" xfId="14" applyNumberFormat="1" applyFont="1" applyFill="1" applyBorder="1" applyAlignment="1">
      <alignment horizontal="right" vertical="center"/>
    </xf>
    <xf numFmtId="2" fontId="18" fillId="6" borderId="9" xfId="14" applyNumberFormat="1" applyFont="1" applyFill="1" applyBorder="1">
      <alignment vertical="center"/>
    </xf>
    <xf numFmtId="0" fontId="23" fillId="0" borderId="3" xfId="14" applyFont="1" applyBorder="1" applyAlignment="1">
      <alignment horizontal="center" vertical="center" wrapText="1"/>
    </xf>
    <xf numFmtId="0" fontId="23" fillId="0" borderId="9" xfId="0" applyFont="1" applyBorder="1" applyAlignment="1">
      <alignment horizontal="center" vertical="center"/>
    </xf>
    <xf numFmtId="2" fontId="23" fillId="0" borderId="4" xfId="10" applyNumberFormat="1" applyFont="1" applyBorder="1" applyAlignment="1">
      <alignment vertical="top" wrapText="1"/>
    </xf>
    <xf numFmtId="2" fontId="23" fillId="0" borderId="4" xfId="14" applyNumberFormat="1" applyFont="1" applyBorder="1">
      <alignment vertical="center"/>
    </xf>
    <xf numFmtId="168" fontId="18" fillId="0" borderId="4" xfId="0" applyNumberFormat="1" applyFont="1" applyBorder="1" applyAlignment="1">
      <alignment vertical="center"/>
    </xf>
    <xf numFmtId="169" fontId="23" fillId="6" borderId="4" xfId="0" applyNumberFormat="1" applyFont="1" applyFill="1" applyBorder="1" applyAlignment="1">
      <alignment vertical="center"/>
    </xf>
    <xf numFmtId="169" fontId="18" fillId="0" borderId="4" xfId="0" applyNumberFormat="1" applyFont="1" applyBorder="1" applyAlignment="1">
      <alignment vertical="center"/>
    </xf>
    <xf numFmtId="10" fontId="18" fillId="0" borderId="0" xfId="14" applyNumberFormat="1" applyFont="1">
      <alignment vertical="center"/>
    </xf>
    <xf numFmtId="2" fontId="18" fillId="0" borderId="9" xfId="14" applyNumberFormat="1" applyFont="1" applyBorder="1" applyAlignment="1">
      <alignment horizontal="right" vertical="center"/>
    </xf>
    <xf numFmtId="2" fontId="18" fillId="6" borderId="4" xfId="10" applyNumberFormat="1" applyFont="1" applyFill="1" applyBorder="1" applyAlignment="1">
      <alignment horizontal="right" vertical="center"/>
    </xf>
    <xf numFmtId="2" fontId="18" fillId="6" borderId="4" xfId="10" applyNumberFormat="1" applyFont="1" applyFill="1" applyBorder="1" applyAlignment="1">
      <alignment horizontal="right" vertical="center" wrapText="1"/>
    </xf>
    <xf numFmtId="2" fontId="23" fillId="6" borderId="4" xfId="10" applyNumberFormat="1" applyFont="1" applyFill="1" applyBorder="1" applyAlignment="1">
      <alignment horizontal="right" vertical="center"/>
    </xf>
    <xf numFmtId="2" fontId="18" fillId="0" borderId="0" xfId="14" applyNumberFormat="1" applyFont="1">
      <alignment vertical="center"/>
    </xf>
    <xf numFmtId="170" fontId="18" fillId="0" borderId="0" xfId="14" applyNumberFormat="1" applyFont="1">
      <alignment vertical="center"/>
    </xf>
    <xf numFmtId="1" fontId="18" fillId="0" borderId="0" xfId="14" applyNumberFormat="1" applyFont="1">
      <alignment vertical="center"/>
    </xf>
    <xf numFmtId="4" fontId="18" fillId="0" borderId="0" xfId="10" applyNumberFormat="1" applyFont="1" applyAlignment="1">
      <alignment vertical="center"/>
    </xf>
    <xf numFmtId="0" fontId="18" fillId="0" borderId="4" xfId="0" applyFont="1" applyBorder="1"/>
    <xf numFmtId="164" fontId="18" fillId="0" borderId="4" xfId="70" applyFont="1" applyBorder="1"/>
    <xf numFmtId="164" fontId="26" fillId="0" borderId="4" xfId="70" applyFont="1" applyBorder="1"/>
    <xf numFmtId="10" fontId="26" fillId="0" borderId="4" xfId="0" applyNumberFormat="1" applyFont="1" applyBorder="1"/>
    <xf numFmtId="164" fontId="18" fillId="0" borderId="4" xfId="70" applyFont="1" applyBorder="1" applyAlignment="1">
      <alignment horizontal="center" vertical="center"/>
    </xf>
    <xf numFmtId="164" fontId="18" fillId="0" borderId="4" xfId="70" applyFont="1" applyBorder="1" applyAlignment="1">
      <alignment vertical="center"/>
    </xf>
    <xf numFmtId="164" fontId="0" fillId="0" borderId="4" xfId="70" applyFont="1" applyBorder="1"/>
    <xf numFmtId="2" fontId="23" fillId="0" borderId="18" xfId="10" applyNumberFormat="1" applyFont="1" applyBorder="1" applyAlignment="1">
      <alignment vertical="center"/>
    </xf>
    <xf numFmtId="0" fontId="23" fillId="0" borderId="18" xfId="10" applyFont="1" applyBorder="1" applyAlignment="1">
      <alignment vertical="center" wrapText="1"/>
    </xf>
    <xf numFmtId="2" fontId="18" fillId="0" borderId="0" xfId="10" applyNumberFormat="1" applyFont="1" applyAlignment="1">
      <alignment horizontal="left" vertical="center"/>
    </xf>
    <xf numFmtId="2" fontId="23" fillId="6" borderId="13" xfId="19" applyNumberFormat="1" applyFont="1" applyFill="1" applyBorder="1" applyAlignment="1">
      <alignment horizontal="right" vertical="center"/>
    </xf>
    <xf numFmtId="10" fontId="23" fillId="6" borderId="13" xfId="67" applyNumberFormat="1" applyFont="1" applyFill="1" applyBorder="1" applyAlignment="1">
      <alignment horizontal="right" vertical="center"/>
    </xf>
    <xf numFmtId="164" fontId="18" fillId="0" borderId="0" xfId="10" applyNumberFormat="1" applyFont="1" applyAlignment="1">
      <alignment vertical="center"/>
    </xf>
    <xf numFmtId="0" fontId="18" fillId="4" borderId="12" xfId="67" applyFont="1" applyFill="1" applyBorder="1" applyAlignment="1">
      <alignment horizontal="right" vertical="center"/>
    </xf>
    <xf numFmtId="0" fontId="23" fillId="4" borderId="13" xfId="67" applyFont="1" applyFill="1" applyBorder="1" applyAlignment="1">
      <alignment horizontal="right" vertical="center"/>
    </xf>
    <xf numFmtId="0" fontId="10" fillId="0" borderId="4" xfId="14" applyFont="1" applyBorder="1" applyAlignment="1">
      <alignment vertical="center" wrapText="1"/>
    </xf>
    <xf numFmtId="2" fontId="18" fillId="0" borderId="0" xfId="10" applyNumberFormat="1" applyFont="1" applyAlignment="1">
      <alignment vertical="center"/>
    </xf>
    <xf numFmtId="0" fontId="10" fillId="0" borderId="18" xfId="0" applyFont="1" applyBorder="1" applyAlignment="1">
      <alignment horizontal="center"/>
    </xf>
    <xf numFmtId="2" fontId="23" fillId="6" borderId="4" xfId="14" applyNumberFormat="1" applyFont="1" applyFill="1" applyBorder="1" applyAlignment="1">
      <alignment horizontal="right" vertical="center"/>
    </xf>
    <xf numFmtId="2" fontId="23" fillId="5" borderId="4" xfId="14" applyNumberFormat="1" applyFont="1" applyFill="1" applyBorder="1" applyAlignment="1">
      <alignment horizontal="right" vertical="center"/>
    </xf>
    <xf numFmtId="2" fontId="23" fillId="0" borderId="4" xfId="14" applyNumberFormat="1" applyFont="1" applyBorder="1" applyAlignment="1">
      <alignment horizontal="right" vertical="center"/>
    </xf>
    <xf numFmtId="169" fontId="23" fillId="6" borderId="4" xfId="14" applyNumberFormat="1" applyFont="1" applyFill="1" applyBorder="1" applyAlignment="1">
      <alignment horizontal="right" vertical="center"/>
    </xf>
    <xf numFmtId="2" fontId="23" fillId="6" borderId="18" xfId="14" applyNumberFormat="1" applyFont="1" applyFill="1" applyBorder="1" applyAlignment="1">
      <alignment horizontal="right" vertical="center"/>
    </xf>
    <xf numFmtId="175" fontId="18" fillId="0" borderId="9" xfId="38" applyNumberFormat="1" applyFont="1" applyBorder="1" applyAlignment="1">
      <alignment vertical="center"/>
    </xf>
    <xf numFmtId="175" fontId="18" fillId="0" borderId="9" xfId="14" applyNumberFormat="1" applyFont="1" applyBorder="1">
      <alignment vertical="center"/>
    </xf>
    <xf numFmtId="175" fontId="23" fillId="6" borderId="9" xfId="14" applyNumberFormat="1" applyFont="1" applyFill="1" applyBorder="1">
      <alignment vertical="center"/>
    </xf>
    <xf numFmtId="0" fontId="0" fillId="0" borderId="18" xfId="0" applyBorder="1"/>
    <xf numFmtId="0" fontId="18" fillId="0" borderId="18" xfId="10" applyFont="1" applyBorder="1" applyAlignment="1">
      <alignment horizontal="center" vertical="center"/>
    </xf>
    <xf numFmtId="0" fontId="23" fillId="0" borderId="18" xfId="10" applyFont="1" applyBorder="1" applyAlignment="1">
      <alignment horizontal="center" vertical="center" wrapText="1"/>
    </xf>
    <xf numFmtId="2" fontId="23" fillId="0" borderId="4" xfId="14" applyNumberFormat="1" applyFont="1" applyBorder="1" applyAlignment="1">
      <alignment horizontal="right" vertical="center" wrapText="1"/>
    </xf>
    <xf numFmtId="1" fontId="18" fillId="4" borderId="18" xfId="70" applyNumberFormat="1" applyFont="1" applyFill="1" applyBorder="1" applyAlignment="1">
      <alignment horizontal="center" vertical="center"/>
    </xf>
    <xf numFmtId="164" fontId="18" fillId="4" borderId="18" xfId="70" applyFont="1" applyFill="1" applyBorder="1" applyAlignment="1">
      <alignment horizontal="left" vertical="center"/>
    </xf>
    <xf numFmtId="164" fontId="18" fillId="4" borderId="18" xfId="70" applyFont="1" applyFill="1" applyBorder="1" applyAlignment="1">
      <alignment horizontal="right" vertical="center"/>
    </xf>
    <xf numFmtId="164" fontId="32" fillId="7" borderId="18" xfId="94" applyFont="1" applyFill="1" applyBorder="1"/>
    <xf numFmtId="164" fontId="18" fillId="0" borderId="18" xfId="70" applyFont="1" applyBorder="1" applyAlignment="1">
      <alignment horizontal="center" vertical="center" wrapText="1"/>
    </xf>
    <xf numFmtId="169" fontId="33" fillId="0" borderId="18" xfId="10" applyNumberFormat="1" applyFont="1" applyBorder="1" applyAlignment="1">
      <alignment horizontal="right" vertical="center"/>
    </xf>
    <xf numFmtId="2" fontId="33" fillId="0" borderId="18" xfId="10" applyNumberFormat="1" applyFont="1" applyBorder="1" applyAlignment="1">
      <alignment horizontal="right" vertical="center"/>
    </xf>
    <xf numFmtId="2" fontId="34" fillId="0" borderId="18" xfId="10" applyNumberFormat="1" applyFont="1" applyBorder="1" applyAlignment="1">
      <alignment horizontal="right" vertical="center"/>
    </xf>
    <xf numFmtId="1" fontId="18" fillId="4" borderId="18" xfId="28" applyNumberFormat="1" applyFont="1" applyFill="1" applyBorder="1" applyAlignment="1">
      <alignment horizontal="right" vertical="center"/>
    </xf>
    <xf numFmtId="0" fontId="18" fillId="0" borderId="0" xfId="0" applyFont="1" applyAlignment="1">
      <alignment horizontal="center" vertical="center"/>
    </xf>
    <xf numFmtId="0" fontId="35" fillId="0" borderId="0" xfId="0" applyFont="1" applyAlignment="1">
      <alignment vertical="center"/>
    </xf>
    <xf numFmtId="0" fontId="23" fillId="0" borderId="18" xfId="0" applyFont="1" applyBorder="1" applyAlignment="1">
      <alignment horizontal="center" vertical="center"/>
    </xf>
    <xf numFmtId="0" fontId="36" fillId="0" borderId="18" xfId="0" applyFont="1" applyBorder="1" applyAlignment="1">
      <alignment horizontal="center" vertical="center"/>
    </xf>
    <xf numFmtId="0" fontId="23" fillId="0" borderId="18" xfId="0" applyFont="1" applyBorder="1" applyAlignment="1">
      <alignment vertical="center"/>
    </xf>
    <xf numFmtId="0" fontId="35" fillId="0" borderId="18" xfId="0" applyFont="1" applyBorder="1" applyAlignment="1">
      <alignment horizontal="center" vertical="center"/>
    </xf>
    <xf numFmtId="0" fontId="35" fillId="0" borderId="18" xfId="0" applyFont="1" applyBorder="1" applyAlignment="1">
      <alignment vertical="center"/>
    </xf>
    <xf numFmtId="0" fontId="18" fillId="0" borderId="18" xfId="0" applyFont="1" applyBorder="1" applyAlignment="1">
      <alignment vertical="center"/>
    </xf>
    <xf numFmtId="0" fontId="18" fillId="0" borderId="18" xfId="0" applyFont="1" applyBorder="1" applyAlignment="1">
      <alignment horizontal="center" vertical="center"/>
    </xf>
    <xf numFmtId="2" fontId="35" fillId="0" borderId="18" xfId="0" applyNumberFormat="1" applyFont="1" applyBorder="1" applyAlignment="1">
      <alignment horizontal="center" vertical="center"/>
    </xf>
    <xf numFmtId="2" fontId="35" fillId="0" borderId="18" xfId="0" applyNumberFormat="1" applyFont="1" applyBorder="1" applyAlignment="1">
      <alignment vertical="center"/>
    </xf>
    <xf numFmtId="0" fontId="11" fillId="0" borderId="18" xfId="0" applyFont="1" applyBorder="1" applyAlignment="1">
      <alignment horizontal="center" vertical="center"/>
    </xf>
    <xf numFmtId="2" fontId="36" fillId="6" borderId="18" xfId="0" applyNumberFormat="1" applyFont="1" applyFill="1" applyBorder="1" applyAlignment="1">
      <alignment horizontal="center" vertical="center"/>
    </xf>
    <xf numFmtId="2" fontId="36" fillId="6" borderId="18" xfId="0" applyNumberFormat="1" applyFont="1" applyFill="1" applyBorder="1" applyAlignment="1">
      <alignment vertical="center"/>
    </xf>
    <xf numFmtId="177" fontId="35" fillId="0" borderId="18" xfId="0" applyNumberFormat="1" applyFont="1" applyBorder="1" applyAlignment="1">
      <alignment horizontal="center" vertical="center"/>
    </xf>
    <xf numFmtId="169" fontId="36" fillId="6" borderId="18" xfId="0" applyNumberFormat="1" applyFont="1" applyFill="1" applyBorder="1" applyAlignment="1">
      <alignment horizontal="center" vertical="center"/>
    </xf>
    <xf numFmtId="177" fontId="36" fillId="6" borderId="18" xfId="0" applyNumberFormat="1" applyFont="1" applyFill="1" applyBorder="1" applyAlignment="1">
      <alignment horizontal="center" vertical="center"/>
    </xf>
    <xf numFmtId="0" fontId="18" fillId="0" borderId="18" xfId="0" applyFont="1" applyBorder="1" applyAlignment="1">
      <alignment vertical="center" wrapText="1"/>
    </xf>
    <xf numFmtId="2" fontId="35" fillId="0" borderId="18" xfId="0" applyNumberFormat="1" applyFont="1" applyBorder="1" applyAlignment="1">
      <alignment horizontal="center"/>
    </xf>
    <xf numFmtId="2" fontId="35" fillId="0" borderId="18" xfId="0" applyNumberFormat="1" applyFont="1" applyBorder="1"/>
    <xf numFmtId="0" fontId="23" fillId="0" borderId="0" xfId="0" applyFont="1" applyAlignment="1">
      <alignment vertical="center"/>
    </xf>
    <xf numFmtId="0" fontId="23" fillId="0" borderId="18" xfId="0" applyFont="1" applyBorder="1" applyAlignment="1">
      <alignment vertical="center" wrapText="1"/>
    </xf>
    <xf numFmtId="2" fontId="36" fillId="0" borderId="18" xfId="0" applyNumberFormat="1" applyFont="1" applyBorder="1" applyAlignment="1">
      <alignment horizontal="center"/>
    </xf>
    <xf numFmtId="2" fontId="36" fillId="0" borderId="18" xfId="0" applyNumberFormat="1" applyFont="1" applyBorder="1"/>
    <xf numFmtId="2" fontId="36" fillId="0" borderId="18" xfId="0" applyNumberFormat="1" applyFont="1" applyBorder="1" applyAlignment="1">
      <alignment vertical="center"/>
    </xf>
    <xf numFmtId="0" fontId="0" fillId="0" borderId="0" xfId="0" applyAlignment="1">
      <alignment horizontal="center"/>
    </xf>
    <xf numFmtId="17" fontId="23" fillId="0" borderId="18" xfId="0" applyNumberFormat="1" applyFont="1" applyBorder="1" applyAlignment="1">
      <alignment horizontal="center" vertical="center"/>
    </xf>
    <xf numFmtId="0" fontId="0" fillId="0" borderId="18" xfId="0" applyBorder="1" applyAlignment="1">
      <alignment horizontal="center"/>
    </xf>
    <xf numFmtId="0" fontId="10" fillId="0" borderId="18" xfId="0" applyFont="1" applyBorder="1" applyAlignment="1">
      <alignment horizontal="center" vertical="center"/>
    </xf>
    <xf numFmtId="0" fontId="0" fillId="0" borderId="8" xfId="0" applyBorder="1" applyAlignment="1">
      <alignment horizontal="center"/>
    </xf>
    <xf numFmtId="0" fontId="23" fillId="0" borderId="18" xfId="14" applyFont="1" applyBorder="1" applyAlignment="1">
      <alignment horizontal="center" vertical="center" wrapText="1"/>
    </xf>
    <xf numFmtId="16" fontId="23" fillId="0" borderId="18" xfId="10" applyNumberFormat="1" applyFont="1" applyBorder="1" applyAlignment="1">
      <alignment horizontal="center" vertical="center" wrapText="1"/>
    </xf>
    <xf numFmtId="0" fontId="18" fillId="0" borderId="18" xfId="10" applyFont="1" applyBorder="1" applyAlignment="1">
      <alignment horizontal="center" vertical="center" wrapText="1"/>
    </xf>
    <xf numFmtId="2" fontId="23" fillId="0" borderId="18" xfId="10" applyNumberFormat="1" applyFont="1" applyBorder="1" applyAlignment="1">
      <alignment horizontal="right" vertical="center"/>
    </xf>
    <xf numFmtId="0" fontId="23" fillId="0" borderId="18" xfId="10" applyFont="1" applyBorder="1" applyAlignment="1">
      <alignment vertical="center"/>
    </xf>
    <xf numFmtId="0" fontId="18" fillId="0" borderId="18" xfId="10" applyFont="1" applyBorder="1" applyAlignment="1">
      <alignment horizontal="left" vertical="center" wrapText="1"/>
    </xf>
    <xf numFmtId="2" fontId="23" fillId="6" borderId="18" xfId="10" applyNumberFormat="1" applyFont="1" applyFill="1" applyBorder="1" applyAlignment="1">
      <alignment vertical="center"/>
    </xf>
    <xf numFmtId="0" fontId="23" fillId="0" borderId="18" xfId="10" applyFont="1" applyBorder="1" applyAlignment="1">
      <alignment horizontal="left" vertical="center"/>
    </xf>
    <xf numFmtId="0" fontId="18" fillId="0" borderId="18" xfId="10" applyFont="1" applyBorder="1" applyAlignment="1">
      <alignment vertical="center"/>
    </xf>
    <xf numFmtId="2" fontId="27" fillId="0" borderId="18" xfId="10" applyNumberFormat="1" applyFont="1" applyBorder="1" applyAlignment="1">
      <alignment vertical="center"/>
    </xf>
    <xf numFmtId="0" fontId="27" fillId="0" borderId="18" xfId="10" applyFont="1" applyBorder="1" applyAlignment="1">
      <alignment vertical="center"/>
    </xf>
    <xf numFmtId="2" fontId="27" fillId="0" borderId="18" xfId="10" applyNumberFormat="1" applyFont="1" applyBorder="1" applyAlignment="1">
      <alignment horizontal="right" vertical="center"/>
    </xf>
    <xf numFmtId="0" fontId="38" fillId="0" borderId="18" xfId="10" applyFont="1" applyBorder="1" applyAlignment="1">
      <alignment vertical="center"/>
    </xf>
    <xf numFmtId="0" fontId="23" fillId="0" borderId="18" xfId="14" applyFont="1" applyBorder="1" applyAlignment="1">
      <alignment horizontal="left" vertical="center" wrapText="1"/>
    </xf>
    <xf numFmtId="0" fontId="18" fillId="0" borderId="18" xfId="14" quotePrefix="1" applyFont="1" applyBorder="1" applyAlignment="1">
      <alignment horizontal="center" vertical="center" wrapText="1"/>
    </xf>
    <xf numFmtId="0" fontId="26" fillId="0" borderId="18" xfId="14" quotePrefix="1" applyFont="1" applyBorder="1" applyAlignment="1">
      <alignment horizontal="center" vertical="center" wrapText="1"/>
    </xf>
    <xf numFmtId="0" fontId="26" fillId="0" borderId="18" xfId="10" applyFont="1" applyBorder="1" applyAlignment="1">
      <alignment vertical="center"/>
    </xf>
    <xf numFmtId="0" fontId="18" fillId="0" borderId="18" xfId="14" applyFont="1" applyBorder="1" applyAlignment="1">
      <alignment horizontal="center" vertical="center" wrapText="1"/>
    </xf>
    <xf numFmtId="0" fontId="18" fillId="0" borderId="18" xfId="14" applyFont="1" applyBorder="1" applyAlignment="1">
      <alignment horizontal="left" vertical="center" wrapText="1"/>
    </xf>
    <xf numFmtId="0" fontId="26" fillId="0" borderId="18" xfId="14" applyFont="1" applyBorder="1" applyAlignment="1">
      <alignment horizontal="center" vertical="center" wrapText="1"/>
    </xf>
    <xf numFmtId="0" fontId="27" fillId="0" borderId="18" xfId="14" applyFont="1" applyBorder="1" applyAlignment="1">
      <alignment horizontal="center" vertical="center" wrapText="1"/>
    </xf>
    <xf numFmtId="0" fontId="18" fillId="0" borderId="18" xfId="14" applyFont="1" applyBorder="1" applyAlignment="1">
      <alignment vertical="center" wrapText="1"/>
    </xf>
    <xf numFmtId="0" fontId="23" fillId="0" borderId="18" xfId="14" applyFont="1" applyBorder="1" applyAlignment="1">
      <alignment vertical="center" wrapText="1"/>
    </xf>
    <xf numFmtId="0" fontId="18" fillId="0" borderId="0" xfId="14" quotePrefix="1" applyFont="1" applyAlignment="1">
      <alignment horizontal="center" vertical="center" wrapText="1"/>
    </xf>
    <xf numFmtId="0" fontId="18" fillId="0" borderId="0" xfId="10" applyFont="1" applyAlignment="1">
      <alignment horizontal="center" vertical="center" wrapText="1"/>
    </xf>
    <xf numFmtId="0" fontId="18" fillId="0" borderId="0" xfId="10" applyFont="1" applyAlignment="1">
      <alignment horizontal="justify" vertical="center" wrapText="1"/>
    </xf>
    <xf numFmtId="178" fontId="18" fillId="0" borderId="0" xfId="14" applyNumberFormat="1" applyFont="1">
      <alignment vertical="center"/>
    </xf>
    <xf numFmtId="179" fontId="18" fillId="0" borderId="0" xfId="14" applyNumberFormat="1" applyFont="1">
      <alignment vertical="center"/>
    </xf>
    <xf numFmtId="164" fontId="2" fillId="0" borderId="18" xfId="460" applyFont="1" applyBorder="1"/>
    <xf numFmtId="164" fontId="2" fillId="0" borderId="18" xfId="472" applyNumberFormat="1" applyBorder="1"/>
    <xf numFmtId="164" fontId="2" fillId="0" borderId="18" xfId="480" applyNumberFormat="1" applyBorder="1"/>
    <xf numFmtId="164" fontId="2" fillId="0" borderId="18" xfId="482" applyNumberFormat="1" applyBorder="1"/>
    <xf numFmtId="164" fontId="2" fillId="0" borderId="18" xfId="474" applyFont="1" applyBorder="1"/>
    <xf numFmtId="164" fontId="2" fillId="0" borderId="18" xfId="476" applyFont="1" applyBorder="1"/>
    <xf numFmtId="164" fontId="2" fillId="0" borderId="18" xfId="485" applyNumberFormat="1" applyBorder="1"/>
    <xf numFmtId="164" fontId="40" fillId="0" borderId="18" xfId="486" applyNumberFormat="1" applyFont="1" applyBorder="1"/>
    <xf numFmtId="164" fontId="18" fillId="0" borderId="18" xfId="14" applyNumberFormat="1" applyFont="1" applyBorder="1">
      <alignment vertical="center"/>
    </xf>
    <xf numFmtId="164" fontId="26" fillId="0" borderId="18" xfId="70" applyFont="1" applyBorder="1"/>
    <xf numFmtId="2" fontId="23" fillId="6" borderId="18" xfId="19" applyNumberFormat="1" applyFont="1" applyFill="1" applyBorder="1" applyAlignment="1">
      <alignment horizontal="right" vertical="center"/>
    </xf>
    <xf numFmtId="0" fontId="34" fillId="0" borderId="0" xfId="10" applyFont="1" applyAlignment="1">
      <alignment horizontal="left" vertical="center"/>
    </xf>
    <xf numFmtId="0" fontId="33" fillId="0" borderId="0" xfId="14" applyFont="1">
      <alignment vertical="center"/>
    </xf>
    <xf numFmtId="0" fontId="34" fillId="0" borderId="0" xfId="10" applyFont="1" applyAlignment="1">
      <alignment horizontal="center" vertical="center"/>
    </xf>
    <xf numFmtId="0" fontId="34" fillId="0" borderId="0" xfId="14" applyFont="1">
      <alignment vertical="center"/>
    </xf>
    <xf numFmtId="0" fontId="34" fillId="0" borderId="8" xfId="10" applyFont="1" applyBorder="1" applyAlignment="1">
      <alignment horizontal="center" vertical="center" wrapText="1"/>
    </xf>
    <xf numFmtId="0" fontId="34" fillId="0" borderId="18" xfId="10" applyFont="1" applyBorder="1" applyAlignment="1">
      <alignment horizontal="center" vertical="center" wrapText="1"/>
    </xf>
    <xf numFmtId="16" fontId="34" fillId="0" borderId="18" xfId="10" applyNumberFormat="1" applyFont="1" applyBorder="1" applyAlignment="1">
      <alignment horizontal="center" vertical="center" wrapText="1"/>
    </xf>
    <xf numFmtId="0" fontId="34" fillId="0" borderId="8" xfId="10" applyFont="1" applyBorder="1" applyAlignment="1">
      <alignment horizontal="center" vertical="center"/>
    </xf>
    <xf numFmtId="0" fontId="33" fillId="0" borderId="8" xfId="10" applyFont="1" applyBorder="1" applyAlignment="1">
      <alignment horizontal="center" vertical="center" wrapText="1"/>
    </xf>
    <xf numFmtId="0" fontId="33" fillId="0" borderId="8" xfId="10" applyFont="1" applyBorder="1" applyAlignment="1">
      <alignment vertical="center" wrapText="1"/>
    </xf>
    <xf numFmtId="0" fontId="33" fillId="0" borderId="18" xfId="10" applyFont="1" applyBorder="1" applyAlignment="1">
      <alignment vertical="center" wrapText="1"/>
    </xf>
    <xf numFmtId="0" fontId="33" fillId="0" borderId="18" xfId="10" applyFont="1" applyBorder="1" applyAlignment="1">
      <alignment horizontal="center" vertical="center" wrapText="1"/>
    </xf>
    <xf numFmtId="0" fontId="34" fillId="0" borderId="9" xfId="10" applyFont="1" applyBorder="1" applyAlignment="1">
      <alignment vertical="center" wrapText="1"/>
    </xf>
    <xf numFmtId="0" fontId="34" fillId="0" borderId="18" xfId="10" applyFont="1" applyBorder="1" applyAlignment="1">
      <alignment vertical="center" wrapText="1"/>
    </xf>
    <xf numFmtId="0" fontId="34" fillId="0" borderId="18" xfId="10" applyFont="1" applyBorder="1" applyAlignment="1">
      <alignment vertical="center"/>
    </xf>
    <xf numFmtId="2" fontId="23" fillId="8" borderId="4" xfId="14" applyNumberFormat="1" applyFont="1" applyFill="1" applyBorder="1" applyAlignment="1">
      <alignment horizontal="right" vertical="center"/>
    </xf>
    <xf numFmtId="164" fontId="2" fillId="0" borderId="18" xfId="481" applyNumberFormat="1" applyBorder="1"/>
    <xf numFmtId="2" fontId="23" fillId="0" borderId="0" xfId="10" applyNumberFormat="1" applyFont="1" applyAlignment="1">
      <alignment vertical="center"/>
    </xf>
    <xf numFmtId="169" fontId="34" fillId="0" borderId="18" xfId="10" applyNumberFormat="1" applyFont="1" applyBorder="1" applyAlignment="1">
      <alignment horizontal="right" vertical="center"/>
    </xf>
    <xf numFmtId="176" fontId="34" fillId="0" borderId="18" xfId="10" applyNumberFormat="1" applyFont="1" applyBorder="1" applyAlignment="1">
      <alignment horizontal="right" vertical="center"/>
    </xf>
    <xf numFmtId="0" fontId="32" fillId="0" borderId="0" xfId="0" applyFont="1"/>
    <xf numFmtId="0" fontId="18" fillId="0" borderId="0" xfId="10" applyFont="1" applyAlignment="1">
      <alignment vertical="center" wrapText="1"/>
    </xf>
    <xf numFmtId="0" fontId="0" fillId="0" borderId="18" xfId="0" applyBorder="1" applyAlignment="1">
      <alignment wrapText="1"/>
    </xf>
    <xf numFmtId="0" fontId="18" fillId="0" borderId="0" xfId="10" applyFont="1" applyAlignment="1">
      <alignment horizontal="left" vertical="center" wrapText="1"/>
    </xf>
    <xf numFmtId="0" fontId="26" fillId="0" borderId="18" xfId="14" applyFont="1" applyBorder="1" applyAlignment="1">
      <alignment horizontal="right" vertical="center" wrapText="1"/>
    </xf>
    <xf numFmtId="0" fontId="26" fillId="0" borderId="18" xfId="10" applyFont="1" applyBorder="1" applyAlignment="1">
      <alignment horizontal="right" vertical="center"/>
    </xf>
    <xf numFmtId="0" fontId="26" fillId="0" borderId="0" xfId="10" applyFont="1" applyAlignment="1">
      <alignment horizontal="right" vertical="center"/>
    </xf>
    <xf numFmtId="2" fontId="39" fillId="0" borderId="18" xfId="0" applyNumberFormat="1" applyFont="1" applyBorder="1" applyAlignment="1">
      <alignment horizontal="right"/>
    </xf>
    <xf numFmtId="2" fontId="26" fillId="0" borderId="18" xfId="14" applyNumberFormat="1" applyFont="1" applyBorder="1" applyAlignment="1">
      <alignment horizontal="right" vertical="center" wrapText="1"/>
    </xf>
    <xf numFmtId="0" fontId="39" fillId="0" borderId="0" xfId="0" applyFont="1" applyAlignment="1">
      <alignment horizontal="right"/>
    </xf>
    <xf numFmtId="0" fontId="39" fillId="0" borderId="18" xfId="0" applyFont="1" applyBorder="1" applyAlignment="1">
      <alignment horizontal="right"/>
    </xf>
    <xf numFmtId="169" fontId="26" fillId="0" borderId="18" xfId="14" applyNumberFormat="1" applyFont="1" applyBorder="1" applyAlignment="1">
      <alignment horizontal="right" vertical="center" wrapText="1"/>
    </xf>
    <xf numFmtId="0" fontId="18" fillId="0" borderId="18" xfId="14" quotePrefix="1" applyFont="1" applyBorder="1" applyAlignment="1">
      <alignment horizontal="right" vertical="center" wrapText="1"/>
    </xf>
    <xf numFmtId="0" fontId="18" fillId="0" borderId="18" xfId="14" applyFont="1" applyBorder="1" applyAlignment="1">
      <alignment horizontal="right" vertical="center" wrapText="1"/>
    </xf>
    <xf numFmtId="0" fontId="18" fillId="0" borderId="18" xfId="10" applyFont="1" applyBorder="1" applyAlignment="1">
      <alignment horizontal="right" vertical="center"/>
    </xf>
    <xf numFmtId="2" fontId="10" fillId="0" borderId="18" xfId="0" applyNumberFormat="1" applyFont="1" applyBorder="1" applyAlignment="1">
      <alignment horizontal="right" vertical="center"/>
    </xf>
    <xf numFmtId="2" fontId="0" fillId="0" borderId="18" xfId="0" applyNumberFormat="1" applyBorder="1" applyAlignment="1">
      <alignment horizontal="right"/>
    </xf>
    <xf numFmtId="2" fontId="10" fillId="0" borderId="18" xfId="0" applyNumberFormat="1" applyFont="1" applyBorder="1" applyAlignment="1">
      <alignment horizontal="right"/>
    </xf>
    <xf numFmtId="2" fontId="0" fillId="0" borderId="0" xfId="0" applyNumberFormat="1" applyAlignment="1">
      <alignment horizontal="right"/>
    </xf>
    <xf numFmtId="0" fontId="32" fillId="0" borderId="18" xfId="0" applyFont="1" applyBorder="1" applyAlignment="1">
      <alignment horizontal="center" vertical="center"/>
    </xf>
    <xf numFmtId="2" fontId="15" fillId="0" borderId="18" xfId="0" applyNumberFormat="1" applyFont="1" applyBorder="1" applyAlignment="1">
      <alignment horizontal="right" vertical="center"/>
    </xf>
    <xf numFmtId="0" fontId="32" fillId="0" borderId="18" xfId="0" applyFont="1" applyBorder="1"/>
    <xf numFmtId="0" fontId="18" fillId="0" borderId="0" xfId="0" applyFont="1" applyAlignment="1">
      <alignment vertical="center" wrapText="1"/>
    </xf>
    <xf numFmtId="2" fontId="0" fillId="0" borderId="0" xfId="0" applyNumberFormat="1"/>
    <xf numFmtId="0" fontId="26" fillId="0" borderId="18" xfId="14" applyFont="1" applyFill="1" applyBorder="1" applyAlignment="1">
      <alignment horizontal="right" vertical="center" wrapText="1"/>
    </xf>
    <xf numFmtId="0" fontId="23" fillId="0" borderId="0" xfId="10" applyFont="1" applyAlignment="1">
      <alignment horizontal="center" vertical="center"/>
    </xf>
    <xf numFmtId="0" fontId="23" fillId="0" borderId="0" xfId="10" applyFont="1" applyAlignment="1">
      <alignment horizontal="left" vertical="center"/>
    </xf>
    <xf numFmtId="0" fontId="23" fillId="0" borderId="18" xfId="14" applyFont="1" applyBorder="1" applyAlignment="1">
      <alignment horizontal="center" vertical="center" wrapText="1"/>
    </xf>
    <xf numFmtId="0" fontId="15" fillId="0" borderId="0" xfId="14" applyFont="1" applyAlignment="1">
      <alignment horizontal="center" vertical="center"/>
    </xf>
    <xf numFmtId="0" fontId="10" fillId="0" borderId="0" xfId="10" applyFont="1" applyAlignment="1">
      <alignment horizontal="center" vertical="center"/>
    </xf>
    <xf numFmtId="0" fontId="15" fillId="0" borderId="0" xfId="10" applyFont="1" applyAlignment="1">
      <alignment horizontal="center" vertical="center" wrapText="1"/>
    </xf>
    <xf numFmtId="0" fontId="10" fillId="0" borderId="0" xfId="10" applyFont="1" applyAlignment="1">
      <alignment horizontal="center" vertical="center" wrapText="1"/>
    </xf>
    <xf numFmtId="0" fontId="23" fillId="0" borderId="8" xfId="14" applyFont="1" applyBorder="1" applyAlignment="1">
      <alignment horizontal="center" vertical="center"/>
    </xf>
    <xf numFmtId="0" fontId="23" fillId="0" borderId="10" xfId="14" applyFont="1" applyBorder="1" applyAlignment="1">
      <alignment horizontal="center" vertical="center"/>
    </xf>
    <xf numFmtId="0" fontId="23" fillId="0" borderId="7" xfId="14" applyFont="1" applyBorder="1" applyAlignment="1">
      <alignment horizontal="center" vertical="center"/>
    </xf>
    <xf numFmtId="0" fontId="23" fillId="0" borderId="8" xfId="14" applyFont="1" applyBorder="1" applyAlignment="1">
      <alignment horizontal="center" vertical="center" wrapText="1"/>
    </xf>
    <xf numFmtId="0" fontId="23" fillId="0" borderId="10" xfId="14" applyFont="1" applyBorder="1" applyAlignment="1">
      <alignment horizontal="center" vertical="center" wrapText="1"/>
    </xf>
    <xf numFmtId="0" fontId="18" fillId="0" borderId="7" xfId="10" applyFont="1" applyBorder="1" applyAlignment="1">
      <alignment horizontal="center" vertical="center" wrapText="1"/>
    </xf>
    <xf numFmtId="0" fontId="23" fillId="0" borderId="4" xfId="14" applyFont="1" applyBorder="1" applyAlignment="1">
      <alignment horizontal="center" vertical="center"/>
    </xf>
    <xf numFmtId="0" fontId="18" fillId="0" borderId="4" xfId="10" applyFont="1" applyBorder="1" applyAlignment="1">
      <alignment horizontal="center" vertical="center"/>
    </xf>
    <xf numFmtId="0" fontId="23" fillId="0" borderId="4" xfId="14" applyFont="1" applyBorder="1" applyAlignment="1">
      <alignment horizontal="center" vertical="center" wrapText="1"/>
    </xf>
    <xf numFmtId="0" fontId="18" fillId="0" borderId="4" xfId="10" applyFont="1" applyBorder="1" applyAlignment="1">
      <alignment horizontal="center" vertical="center" wrapText="1"/>
    </xf>
    <xf numFmtId="0" fontId="23" fillId="0" borderId="6" xfId="14" applyFont="1" applyBorder="1" applyAlignment="1">
      <alignment horizontal="center" vertical="center" wrapText="1"/>
    </xf>
    <xf numFmtId="0" fontId="23" fillId="0" borderId="3" xfId="14" applyFont="1" applyBorder="1" applyAlignment="1">
      <alignment horizontal="center" vertical="center" wrapText="1"/>
    </xf>
    <xf numFmtId="0" fontId="23" fillId="0" borderId="9" xfId="14" applyFont="1" applyBorder="1" applyAlignment="1">
      <alignment horizontal="center" vertical="center" wrapText="1"/>
    </xf>
    <xf numFmtId="0" fontId="23" fillId="0" borderId="0" xfId="10" applyFont="1" applyAlignment="1">
      <alignment horizontal="center" vertical="center"/>
    </xf>
    <xf numFmtId="0" fontId="23" fillId="0" borderId="0" xfId="10" applyFont="1" applyAlignment="1">
      <alignment horizontal="left" vertical="center"/>
    </xf>
    <xf numFmtId="0" fontId="23" fillId="0" borderId="4" xfId="10" applyFont="1" applyBorder="1" applyAlignment="1">
      <alignment horizontal="center" vertical="center" wrapText="1"/>
    </xf>
    <xf numFmtId="0" fontId="23" fillId="0" borderId="8" xfId="10" applyFont="1" applyBorder="1" applyAlignment="1">
      <alignment horizontal="center" vertical="center" wrapText="1"/>
    </xf>
    <xf numFmtId="0" fontId="23" fillId="0" borderId="10" xfId="10" applyFont="1" applyBorder="1" applyAlignment="1">
      <alignment horizontal="center" vertical="center" wrapText="1"/>
    </xf>
    <xf numFmtId="0" fontId="23" fillId="0" borderId="7" xfId="10" applyFont="1" applyBorder="1" applyAlignment="1">
      <alignment horizontal="center" vertical="center" wrapText="1"/>
    </xf>
    <xf numFmtId="0" fontId="18" fillId="0" borderId="4" xfId="10" applyFont="1" applyBorder="1" applyAlignment="1">
      <alignment vertical="center"/>
    </xf>
    <xf numFmtId="0" fontId="23" fillId="0" borderId="4" xfId="10" applyFont="1" applyBorder="1" applyAlignment="1">
      <alignment horizontal="center" vertical="center"/>
    </xf>
    <xf numFmtId="0" fontId="23" fillId="4" borderId="15" xfId="67" applyFont="1" applyFill="1" applyBorder="1" applyAlignment="1">
      <alignment horizontal="center" vertical="center"/>
    </xf>
    <xf numFmtId="0" fontId="23" fillId="4" borderId="16" xfId="67" applyFont="1" applyFill="1" applyBorder="1" applyAlignment="1">
      <alignment horizontal="center" vertical="center"/>
    </xf>
    <xf numFmtId="0" fontId="23" fillId="4" borderId="17" xfId="67" applyFont="1" applyFill="1" applyBorder="1" applyAlignment="1">
      <alignment horizontal="center" vertical="center"/>
    </xf>
    <xf numFmtId="0" fontId="23" fillId="4" borderId="5" xfId="67" applyFont="1" applyFill="1" applyBorder="1" applyAlignment="1">
      <alignment horizontal="center" vertical="center" wrapText="1"/>
    </xf>
    <xf numFmtId="0" fontId="23" fillId="4" borderId="19" xfId="67" applyFont="1" applyFill="1" applyBorder="1" applyAlignment="1">
      <alignment horizontal="center" vertical="center" wrapText="1"/>
    </xf>
    <xf numFmtId="0" fontId="23" fillId="4" borderId="4" xfId="67" quotePrefix="1" applyFont="1" applyFill="1" applyBorder="1" applyAlignment="1">
      <alignment horizontal="center" vertical="center" wrapText="1"/>
    </xf>
    <xf numFmtId="0" fontId="23" fillId="4" borderId="8" xfId="67" quotePrefix="1" applyFont="1" applyFill="1" applyBorder="1" applyAlignment="1">
      <alignment horizontal="center" vertical="center" wrapText="1"/>
    </xf>
    <xf numFmtId="0" fontId="23" fillId="4" borderId="4" xfId="67" applyFont="1" applyFill="1" applyBorder="1" applyAlignment="1">
      <alignment horizontal="center" vertical="center" wrapText="1"/>
    </xf>
    <xf numFmtId="0" fontId="23" fillId="4" borderId="8" xfId="67" applyFont="1" applyFill="1" applyBorder="1" applyAlignment="1">
      <alignment horizontal="center" vertical="center" wrapText="1"/>
    </xf>
    <xf numFmtId="0" fontId="23" fillId="4" borderId="13" xfId="67" applyFont="1" applyFill="1" applyBorder="1" applyAlignment="1">
      <alignment horizontal="center" vertical="center" wrapText="1"/>
    </xf>
    <xf numFmtId="0" fontId="23" fillId="4" borderId="11" xfId="67" applyFont="1" applyFill="1" applyBorder="1" applyAlignment="1">
      <alignment horizontal="center" vertical="center" wrapText="1"/>
    </xf>
    <xf numFmtId="0" fontId="23" fillId="4" borderId="12" xfId="67" applyFont="1" applyFill="1" applyBorder="1" applyAlignment="1">
      <alignment horizontal="center" vertical="center" wrapText="1"/>
    </xf>
    <xf numFmtId="0" fontId="23" fillId="4" borderId="13" xfId="67" quotePrefix="1" applyFont="1" applyFill="1" applyBorder="1" applyAlignment="1">
      <alignment horizontal="center" vertical="center" wrapText="1"/>
    </xf>
    <xf numFmtId="0" fontId="23" fillId="0" borderId="3" xfId="10" applyFont="1" applyBorder="1" applyAlignment="1">
      <alignment horizontal="center" vertical="center"/>
    </xf>
    <xf numFmtId="0" fontId="23" fillId="0" borderId="9" xfId="10" applyFont="1" applyBorder="1" applyAlignment="1">
      <alignment horizontal="center" vertical="center"/>
    </xf>
    <xf numFmtId="0" fontId="11" fillId="0" borderId="4" xfId="10" applyBorder="1" applyAlignment="1">
      <alignment horizontal="center" vertical="center" wrapText="1"/>
    </xf>
    <xf numFmtId="0" fontId="11" fillId="0" borderId="4" xfId="10" applyBorder="1" applyAlignment="1">
      <alignment horizontal="center" vertical="center"/>
    </xf>
    <xf numFmtId="0" fontId="23" fillId="0" borderId="18" xfId="14" applyFont="1" applyBorder="1" applyAlignment="1">
      <alignment horizontal="center" vertical="center" wrapText="1"/>
    </xf>
    <xf numFmtId="0" fontId="18" fillId="0" borderId="18" xfId="10" applyFont="1" applyBorder="1" applyAlignment="1">
      <alignment horizontal="center" vertical="center" wrapText="1"/>
    </xf>
    <xf numFmtId="0" fontId="23" fillId="0" borderId="18" xfId="14" quotePrefix="1" applyFont="1" applyBorder="1" applyAlignment="1">
      <alignment horizontal="center" vertical="center" wrapText="1"/>
    </xf>
    <xf numFmtId="0" fontId="18" fillId="0" borderId="0" xfId="0" applyFont="1" applyAlignment="1">
      <alignment horizontal="left" vertical="center" wrapText="1"/>
    </xf>
    <xf numFmtId="0" fontId="23" fillId="0" borderId="18" xfId="0" applyFont="1" applyBorder="1" applyAlignment="1">
      <alignment horizontal="center" vertical="center"/>
    </xf>
    <xf numFmtId="0" fontId="23" fillId="0" borderId="18" xfId="0" applyFont="1" applyBorder="1" applyAlignment="1">
      <alignment horizontal="center" vertical="center" wrapText="1"/>
    </xf>
    <xf numFmtId="0" fontId="37" fillId="0" borderId="0" xfId="14" applyFont="1" applyAlignment="1">
      <alignment horizontal="center" vertical="center"/>
    </xf>
    <xf numFmtId="0" fontId="37" fillId="0" borderId="0" xfId="10" applyFont="1" applyAlignment="1">
      <alignment horizontal="center" vertical="center"/>
    </xf>
    <xf numFmtId="17" fontId="23" fillId="0" borderId="6" xfId="0" applyNumberFormat="1" applyFont="1" applyBorder="1" applyAlignment="1">
      <alignment horizontal="center" vertical="center"/>
    </xf>
    <xf numFmtId="17" fontId="23" fillId="0" borderId="9" xfId="0" applyNumberFormat="1" applyFont="1" applyBorder="1" applyAlignment="1">
      <alignment horizontal="center" vertical="center"/>
    </xf>
    <xf numFmtId="2" fontId="32" fillId="0" borderId="6" xfId="0" applyNumberFormat="1" applyFont="1" applyBorder="1" applyAlignment="1">
      <alignment horizontal="right"/>
    </xf>
    <xf numFmtId="2" fontId="32" fillId="0" borderId="9" xfId="0" applyNumberFormat="1" applyFont="1" applyBorder="1" applyAlignment="1">
      <alignment horizontal="right"/>
    </xf>
    <xf numFmtId="2" fontId="10" fillId="0" borderId="6" xfId="0" applyNumberFormat="1" applyFont="1" applyBorder="1" applyAlignment="1">
      <alignment horizontal="right" vertical="center"/>
    </xf>
    <xf numFmtId="2" fontId="10" fillId="0" borderId="3" xfId="0" applyNumberFormat="1" applyFont="1" applyBorder="1" applyAlignment="1">
      <alignment horizontal="right" vertical="center"/>
    </xf>
    <xf numFmtId="0" fontId="23" fillId="0" borderId="4" xfId="0" applyFont="1" applyBorder="1" applyAlignment="1">
      <alignment horizontal="center" vertical="center"/>
    </xf>
    <xf numFmtId="0" fontId="23" fillId="0" borderId="6" xfId="10" applyFont="1" applyBorder="1" applyAlignment="1">
      <alignment horizontal="center" vertical="center"/>
    </xf>
    <xf numFmtId="0" fontId="42" fillId="0" borderId="0" xfId="0" applyFont="1" applyAlignment="1">
      <alignment horizontal="center" wrapText="1"/>
    </xf>
    <xf numFmtId="0" fontId="34" fillId="0" borderId="0" xfId="14" applyFont="1" applyAlignment="1">
      <alignment horizontal="center" vertical="center"/>
    </xf>
    <xf numFmtId="0" fontId="23" fillId="0" borderId="0" xfId="14" applyFont="1" applyAlignment="1">
      <alignment horizontal="center" vertical="center"/>
    </xf>
    <xf numFmtId="0" fontId="23" fillId="0" borderId="18" xfId="10" applyFont="1" applyBorder="1" applyAlignment="1">
      <alignment horizontal="center" vertical="center"/>
    </xf>
    <xf numFmtId="0" fontId="44" fillId="0" borderId="18" xfId="10" applyFont="1" applyBorder="1" applyAlignment="1">
      <alignment horizontal="center" vertical="center" wrapText="1"/>
    </xf>
    <xf numFmtId="0" fontId="23" fillId="0" borderId="8" xfId="10" applyFont="1" applyBorder="1" applyAlignment="1">
      <alignment vertical="top" wrapText="1"/>
    </xf>
    <xf numFmtId="2" fontId="23" fillId="0" borderId="8" xfId="10" applyNumberFormat="1" applyFont="1" applyBorder="1" applyAlignment="1">
      <alignment horizontal="right" vertical="center" wrapText="1"/>
    </xf>
    <xf numFmtId="0" fontId="23" fillId="0" borderId="8" xfId="10" applyFont="1" applyBorder="1" applyAlignment="1">
      <alignment horizontal="left" vertical="center" wrapText="1"/>
    </xf>
    <xf numFmtId="0" fontId="32" fillId="0" borderId="18" xfId="0" applyFont="1" applyBorder="1" applyAlignment="1">
      <alignment horizontal="center" vertical="center" wrapText="1"/>
    </xf>
    <xf numFmtId="0" fontId="18" fillId="0" borderId="8" xfId="10" applyFont="1" applyBorder="1" applyAlignment="1">
      <alignment vertical="center"/>
    </xf>
    <xf numFmtId="0" fontId="32" fillId="0" borderId="18" xfId="0" applyFont="1" applyBorder="1" applyAlignment="1">
      <alignment vertical="center" wrapText="1"/>
    </xf>
    <xf numFmtId="0" fontId="32" fillId="0" borderId="18" xfId="0" applyFont="1" applyBorder="1" applyAlignment="1">
      <alignment vertical="top" wrapText="1"/>
    </xf>
    <xf numFmtId="0" fontId="18" fillId="0" borderId="18" xfId="0" applyFont="1" applyBorder="1" applyAlignment="1">
      <alignment vertical="top" wrapText="1"/>
    </xf>
    <xf numFmtId="0" fontId="32" fillId="0" borderId="8" xfId="0" applyFont="1" applyBorder="1" applyAlignment="1">
      <alignment vertical="center" wrapText="1"/>
    </xf>
  </cellXfs>
  <cellStyles count="498">
    <cellStyle name="Body" xfId="1"/>
    <cellStyle name="Comma" xfId="70" builtinId="3"/>
    <cellStyle name="Comma  - Style1" xfId="2"/>
    <cellStyle name="Comma 10" xfId="94"/>
    <cellStyle name="Comma 10 2" xfId="95"/>
    <cellStyle name="Comma 10 3" xfId="251"/>
    <cellStyle name="Comma 10 4" xfId="264"/>
    <cellStyle name="Comma 10 5" xfId="469"/>
    <cellStyle name="Comma 11" xfId="96"/>
    <cellStyle name="Comma 11 2" xfId="19"/>
    <cellStyle name="Comma 11 2 10" xfId="435"/>
    <cellStyle name="Comma 11 2 11" xfId="471"/>
    <cellStyle name="Comma 11 2 2" xfId="97"/>
    <cellStyle name="Comma 11 2 2 2" xfId="98"/>
    <cellStyle name="Comma 11 2 2 3" xfId="92"/>
    <cellStyle name="Comma 11 2 2 4" xfId="347"/>
    <cellStyle name="Comma 11 2 2 5" xfId="366"/>
    <cellStyle name="Comma 11 2 2 6" xfId="384"/>
    <cellStyle name="Comma 11 2 2 7" xfId="400"/>
    <cellStyle name="Comma 11 2 2 8" xfId="416"/>
    <cellStyle name="Comma 11 2 3" xfId="208"/>
    <cellStyle name="Comma 11 2 4" xfId="348"/>
    <cellStyle name="Comma 11 2 5" xfId="357"/>
    <cellStyle name="Comma 11 2 6" xfId="375"/>
    <cellStyle name="Comma 11 2 7" xfId="393"/>
    <cellStyle name="Comma 11 2 8" xfId="409"/>
    <cellStyle name="Comma 11 2 9" xfId="71"/>
    <cellStyle name="Comma 12" xfId="99"/>
    <cellStyle name="Comma 13" xfId="100"/>
    <cellStyle name="Comma 14" xfId="101"/>
    <cellStyle name="Comma 15" xfId="102"/>
    <cellStyle name="Comma 15 2" xfId="103"/>
    <cellStyle name="Comma 15 2 2" xfId="104"/>
    <cellStyle name="Comma 15 2 2 2" xfId="105"/>
    <cellStyle name="Comma 15 2 2 3" xfId="248"/>
    <cellStyle name="Comma 15 2 2 4" xfId="261"/>
    <cellStyle name="Comma 15 2 3" xfId="106"/>
    <cellStyle name="Comma 15 2 4" xfId="107"/>
    <cellStyle name="Comma 15 2 5" xfId="108"/>
    <cellStyle name="Comma 15 2 6" xfId="109"/>
    <cellStyle name="Comma 15 2 7" xfId="110"/>
    <cellStyle name="Comma 15 2 8" xfId="111"/>
    <cellStyle name="Comma 15 3" xfId="112"/>
    <cellStyle name="Comma 15 4" xfId="113"/>
    <cellStyle name="Comma 15 5" xfId="114"/>
    <cellStyle name="Comma 15 6" xfId="115"/>
    <cellStyle name="Comma 15 7" xfId="116"/>
    <cellStyle name="Comma 15 8" xfId="117"/>
    <cellStyle name="Comma 16" xfId="118"/>
    <cellStyle name="Comma 16 2" xfId="119"/>
    <cellStyle name="Comma 16 3" xfId="120"/>
    <cellStyle name="Comma 16 4" xfId="121"/>
    <cellStyle name="Comma 16 5" xfId="122"/>
    <cellStyle name="Comma 16 6" xfId="123"/>
    <cellStyle name="Comma 16 7" xfId="124"/>
    <cellStyle name="Comma 16 8" xfId="125"/>
    <cellStyle name="Comma 17" xfId="126"/>
    <cellStyle name="Comma 18" xfId="127"/>
    <cellStyle name="Comma 18 2" xfId="128"/>
    <cellStyle name="Comma 18 2 2" xfId="129"/>
    <cellStyle name="Comma 19" xfId="130"/>
    <cellStyle name="Comma 2" xfId="24"/>
    <cellStyle name="Comma 2 10" xfId="247"/>
    <cellStyle name="Comma 2 11" xfId="260"/>
    <cellStyle name="Comma 2 12" xfId="285"/>
    <cellStyle name="Comma 2 13" xfId="327"/>
    <cellStyle name="Comma 2 14" xfId="280"/>
    <cellStyle name="Comma 2 15" xfId="367"/>
    <cellStyle name="Comma 2 16" xfId="385"/>
    <cellStyle name="Comma 2 17" xfId="401"/>
    <cellStyle name="Comma 2 18" xfId="72"/>
    <cellStyle name="Comma 2 19" xfId="462"/>
    <cellStyle name="Comma 2 2" xfId="25"/>
    <cellStyle name="Comma 2 2 10" xfId="325"/>
    <cellStyle name="Comma 2 2 11" xfId="282"/>
    <cellStyle name="Comma 2 2 12" xfId="331"/>
    <cellStyle name="Comma 2 2 13" xfId="276"/>
    <cellStyle name="Comma 2 2 14" xfId="336"/>
    <cellStyle name="Comma 2 2 15" xfId="73"/>
    <cellStyle name="Comma 2 2 2" xfId="62"/>
    <cellStyle name="Comma 2 2 2 2" xfId="133"/>
    <cellStyle name="Comma 2 2 2 3" xfId="287"/>
    <cellStyle name="Comma 2 2 2 4" xfId="324"/>
    <cellStyle name="Comma 2 2 2 5" xfId="283"/>
    <cellStyle name="Comma 2 2 2 6" xfId="330"/>
    <cellStyle name="Comma 2 2 2 7" xfId="277"/>
    <cellStyle name="Comma 2 2 2 8" xfId="334"/>
    <cellStyle name="Comma 2 2 3" xfId="132"/>
    <cellStyle name="Comma 2 2 4" xfId="135"/>
    <cellStyle name="Comma 2 2 5" xfId="136"/>
    <cellStyle name="Comma 2 2 6" xfId="137"/>
    <cellStyle name="Comma 2 2 7" xfId="138"/>
    <cellStyle name="Comma 2 2 8" xfId="139"/>
    <cellStyle name="Comma 2 2 9" xfId="286"/>
    <cellStyle name="Comma 2 2_F2.1" xfId="488"/>
    <cellStyle name="Comma 2 3" xfId="26"/>
    <cellStyle name="Comma 2 3 2" xfId="140"/>
    <cellStyle name="Comma 2 3 3" xfId="295"/>
    <cellStyle name="Comma 2 3 4" xfId="312"/>
    <cellStyle name="Comma 2 3 5" xfId="298"/>
    <cellStyle name="Comma 2 3 6" xfId="311"/>
    <cellStyle name="Comma 2 3 7" xfId="299"/>
    <cellStyle name="Comma 2 3 8" xfId="310"/>
    <cellStyle name="Comma 2 3 9" xfId="74"/>
    <cellStyle name="Comma 2 4" xfId="55"/>
    <cellStyle name="Comma 2 4 2" xfId="141"/>
    <cellStyle name="Comma 2 4 3" xfId="296"/>
    <cellStyle name="Comma 2 4 4" xfId="365"/>
    <cellStyle name="Comma 2 4 5" xfId="383"/>
    <cellStyle name="Comma 2 4 6" xfId="399"/>
    <cellStyle name="Comma 2 4 7" xfId="415"/>
    <cellStyle name="Comma 2 4 8" xfId="428"/>
    <cellStyle name="Comma 2 5" xfId="131"/>
    <cellStyle name="Comma 2 6" xfId="143"/>
    <cellStyle name="Comma 2 7" xfId="144"/>
    <cellStyle name="Comma 2 8" xfId="145"/>
    <cellStyle name="Comma 2 9" xfId="146"/>
    <cellStyle name="Comma 2_F2.1" xfId="487"/>
    <cellStyle name="Comma 20" xfId="147"/>
    <cellStyle name="Comma 21" xfId="148"/>
    <cellStyle name="Comma 22" xfId="149"/>
    <cellStyle name="Comma 23" xfId="150"/>
    <cellStyle name="Comma 24" xfId="151"/>
    <cellStyle name="Comma 25" xfId="152"/>
    <cellStyle name="Comma 26" xfId="153"/>
    <cellStyle name="Comma 27" xfId="154"/>
    <cellStyle name="Comma 28" xfId="155"/>
    <cellStyle name="Comma 29" xfId="156"/>
    <cellStyle name="Comma 3" xfId="27"/>
    <cellStyle name="Comma 3 10" xfId="75"/>
    <cellStyle name="Comma 3 11" xfId="467"/>
    <cellStyle name="Comma 3 2" xfId="61"/>
    <cellStyle name="Comma 3 2 2" xfId="76"/>
    <cellStyle name="Comma 3 2 3" xfId="436"/>
    <cellStyle name="Comma 3 2_F2.1" xfId="490"/>
    <cellStyle name="Comma 3 3" xfId="157"/>
    <cellStyle name="Comma 3 4" xfId="301"/>
    <cellStyle name="Comma 3 5" xfId="361"/>
    <cellStyle name="Comma 3 6" xfId="379"/>
    <cellStyle name="Comma 3 7" xfId="396"/>
    <cellStyle name="Comma 3 8" xfId="412"/>
    <cellStyle name="Comma 3 9" xfId="426"/>
    <cellStyle name="Comma 3_F2.1" xfId="489"/>
    <cellStyle name="Comma 30" xfId="158"/>
    <cellStyle name="Comma 31" xfId="159"/>
    <cellStyle name="Comma 32" xfId="160"/>
    <cellStyle name="Comma 33" xfId="161"/>
    <cellStyle name="Comma 34" xfId="162"/>
    <cellStyle name="Comma 35" xfId="163"/>
    <cellStyle name="Comma 36" xfId="164"/>
    <cellStyle name="Comma 37" xfId="165"/>
    <cellStyle name="Comma 38" xfId="249"/>
    <cellStyle name="Comma 39" xfId="254"/>
    <cellStyle name="Comma 4" xfId="28"/>
    <cellStyle name="Comma 4 10" xfId="77"/>
    <cellStyle name="Comma 4 2" xfId="63"/>
    <cellStyle name="Comma 4 2 10" xfId="437"/>
    <cellStyle name="Comma 4 2 2" xfId="167"/>
    <cellStyle name="Comma 4 2 3" xfId="305"/>
    <cellStyle name="Comma 4 2 4" xfId="359"/>
    <cellStyle name="Comma 4 2 5" xfId="377"/>
    <cellStyle name="Comma 4 2 6" xfId="395"/>
    <cellStyle name="Comma 4 2 7" xfId="411"/>
    <cellStyle name="Comma 4 2 8" xfId="425"/>
    <cellStyle name="Comma 4 2 9" xfId="78"/>
    <cellStyle name="Comma 4 3" xfId="168"/>
    <cellStyle name="Comma 4 4" xfId="169"/>
    <cellStyle name="Comma 4 5" xfId="170"/>
    <cellStyle name="Comma 4 6" xfId="171"/>
    <cellStyle name="Comma 4 7" xfId="172"/>
    <cellStyle name="Comma 4 8" xfId="173"/>
    <cellStyle name="Comma 4 9" xfId="174"/>
    <cellStyle name="Comma 4_F2.1" xfId="491"/>
    <cellStyle name="Comma 40" xfId="256"/>
    <cellStyle name="Comma 41" xfId="258"/>
    <cellStyle name="Comma 42" xfId="262"/>
    <cellStyle name="Comma 43" xfId="266"/>
    <cellStyle name="Comma 44" xfId="451"/>
    <cellStyle name="Comma 45" xfId="453"/>
    <cellStyle name="Comma 46" xfId="455"/>
    <cellStyle name="Comma 47" xfId="457"/>
    <cellStyle name="Comma 48" xfId="458"/>
    <cellStyle name="Comma 49" xfId="421"/>
    <cellStyle name="Comma 5" xfId="29"/>
    <cellStyle name="Comma 5 10" xfId="176"/>
    <cellStyle name="Comma 5 11" xfId="308"/>
    <cellStyle name="Comma 5 12" xfId="302"/>
    <cellStyle name="Comma 5 13" xfId="307"/>
    <cellStyle name="Comma 5 14" xfId="303"/>
    <cellStyle name="Comma 5 15" xfId="306"/>
    <cellStyle name="Comma 5 16" xfId="304"/>
    <cellStyle name="Comma 5 17" xfId="79"/>
    <cellStyle name="Comma 5 18" xfId="438"/>
    <cellStyle name="Comma 5 2" xfId="175"/>
    <cellStyle name="Comma 5 2 2" xfId="177"/>
    <cellStyle name="Comma 5 2 3" xfId="309"/>
    <cellStyle name="Comma 5 2 4" xfId="300"/>
    <cellStyle name="Comma 5 2 5" xfId="364"/>
    <cellStyle name="Comma 5 2 6" xfId="382"/>
    <cellStyle name="Comma 5 2 7" xfId="398"/>
    <cellStyle name="Comma 5 2 8" xfId="414"/>
    <cellStyle name="Comma 5 3" xfId="178"/>
    <cellStyle name="Comma 5 3 2" xfId="179"/>
    <cellStyle name="Comma 5 3 3" xfId="180"/>
    <cellStyle name="Comma 5 3 4" xfId="181"/>
    <cellStyle name="Comma 5 3 5" xfId="182"/>
    <cellStyle name="Comma 5 3 6" xfId="183"/>
    <cellStyle name="Comma 5 3 7" xfId="184"/>
    <cellStyle name="Comma 5 3 8" xfId="185"/>
    <cellStyle name="Comma 5 4" xfId="186"/>
    <cellStyle name="Comma 5 4 2" xfId="187"/>
    <cellStyle name="Comma 5 4 2 2" xfId="188"/>
    <cellStyle name="Comma 5 4 2 3" xfId="250"/>
    <cellStyle name="Comma 5 4 2 4" xfId="263"/>
    <cellStyle name="Comma 5 5" xfId="189"/>
    <cellStyle name="Comma 5 6" xfId="190"/>
    <cellStyle name="Comma 5 7" xfId="191"/>
    <cellStyle name="Comma 5 8" xfId="192"/>
    <cellStyle name="Comma 5 9" xfId="193"/>
    <cellStyle name="Comma 50" xfId="460"/>
    <cellStyle name="Comma 51" xfId="461"/>
    <cellStyle name="Comma 52" xfId="477"/>
    <cellStyle name="Comma 53" xfId="475"/>
    <cellStyle name="Comma 54" xfId="479"/>
    <cellStyle name="Comma 55" xfId="474"/>
    <cellStyle name="Comma 56" xfId="476"/>
    <cellStyle name="Comma 57" xfId="473"/>
    <cellStyle name="Comma 58" xfId="478"/>
    <cellStyle name="Comma 6" xfId="47"/>
    <cellStyle name="Comma 6 2" xfId="48"/>
    <cellStyle name="Comma 6 3" xfId="49"/>
    <cellStyle name="Comma 6 4" xfId="50"/>
    <cellStyle name="Comma 6 5" xfId="80"/>
    <cellStyle name="Comma 7" xfId="21"/>
    <cellStyle name="Comma 7 2" xfId="195"/>
    <cellStyle name="Comma 7 3" xfId="317"/>
    <cellStyle name="Comma 7 4" xfId="291"/>
    <cellStyle name="Comma 7 5" xfId="315"/>
    <cellStyle name="Comma 7 6" xfId="293"/>
    <cellStyle name="Comma 7 7" xfId="313"/>
    <cellStyle name="Comma 7 8" xfId="297"/>
    <cellStyle name="Comma 8" xfId="64"/>
    <cellStyle name="Comma 8 10" xfId="439"/>
    <cellStyle name="Comma 8 2" xfId="196"/>
    <cellStyle name="Comma 8 3" xfId="318"/>
    <cellStyle name="Comma 8 4" xfId="290"/>
    <cellStyle name="Comma 8 5" xfId="316"/>
    <cellStyle name="Comma 8 6" xfId="292"/>
    <cellStyle name="Comma 8 7" xfId="314"/>
    <cellStyle name="Comma 8 8" xfId="294"/>
    <cellStyle name="Comma 8 9" xfId="81"/>
    <cellStyle name="Comma 9" xfId="93"/>
    <cellStyle name="Comma 9 2" xfId="197"/>
    <cellStyle name="Comma 9 3" xfId="319"/>
    <cellStyle name="Comma 9 4" xfId="289"/>
    <cellStyle name="Comma 9 5" xfId="320"/>
    <cellStyle name="Comma 9 6" xfId="288"/>
    <cellStyle name="Comma 9 7" xfId="242"/>
    <cellStyle name="Comma 9 8" xfId="353"/>
    <cellStyle name="Curren - Style2" xfId="3"/>
    <cellStyle name="Grey" xfId="4"/>
    <cellStyle name="Header1" xfId="5"/>
    <cellStyle name="Header2" xfId="6"/>
    <cellStyle name="Hyperlink 2" xfId="198"/>
    <cellStyle name="Input [yellow]" xfId="7"/>
    <cellStyle name="no dec" xfId="8"/>
    <cellStyle name="Normal" xfId="0" builtinId="0"/>
    <cellStyle name="Normal - Style1" xfId="9"/>
    <cellStyle name="Normal 10" xfId="66"/>
    <cellStyle name="Normal 10 10" xfId="440"/>
    <cellStyle name="Normal 10 2" xfId="199"/>
    <cellStyle name="Normal 10 3" xfId="321"/>
    <cellStyle name="Normal 10 4" xfId="363"/>
    <cellStyle name="Normal 10 5" xfId="381"/>
    <cellStyle name="Normal 10 6" xfId="397"/>
    <cellStyle name="Normal 10 7" xfId="413"/>
    <cellStyle name="Normal 10 8" xfId="427"/>
    <cellStyle name="Normal 10 9" xfId="82"/>
    <cellStyle name="Normal 11" xfId="68"/>
    <cellStyle name="Normal 11 10" xfId="441"/>
    <cellStyle name="Normal 11 2" xfId="200"/>
    <cellStyle name="Normal 11 3" xfId="322"/>
    <cellStyle name="Normal 11 4" xfId="356"/>
    <cellStyle name="Normal 11 5" xfId="374"/>
    <cellStyle name="Normal 11 6" xfId="392"/>
    <cellStyle name="Normal 11 7" xfId="408"/>
    <cellStyle name="Normal 11 8" xfId="424"/>
    <cellStyle name="Normal 11 9" xfId="83"/>
    <cellStyle name="Normal 12" xfId="69"/>
    <cellStyle name="Normal 12 10" xfId="442"/>
    <cellStyle name="Normal 12 2" xfId="201"/>
    <cellStyle name="Normal 12 3" xfId="323"/>
    <cellStyle name="Normal 12 4" xfId="284"/>
    <cellStyle name="Normal 12 5" xfId="328"/>
    <cellStyle name="Normal 12 6" xfId="279"/>
    <cellStyle name="Normal 12 7" xfId="332"/>
    <cellStyle name="Normal 12 8" xfId="275"/>
    <cellStyle name="Normal 12 9" xfId="84"/>
    <cellStyle name="Normal 13" xfId="202"/>
    <cellStyle name="Normal 14" xfId="203"/>
    <cellStyle name="Normal 14 2" xfId="67"/>
    <cellStyle name="Normal 14 2 2" xfId="85"/>
    <cellStyle name="Normal 14 2 3" xfId="443"/>
    <cellStyle name="Normal 14 2 4" xfId="470"/>
    <cellStyle name="Normal 14 2_F2.1" xfId="492"/>
    <cellStyle name="Normal 15" xfId="18"/>
    <cellStyle name="Normal 15 10" xfId="444"/>
    <cellStyle name="Normal 15 2" xfId="204"/>
    <cellStyle name="Normal 15 3" xfId="326"/>
    <cellStyle name="Normal 15 4" xfId="281"/>
    <cellStyle name="Normal 15 5" xfId="358"/>
    <cellStyle name="Normal 15 6" xfId="376"/>
    <cellStyle name="Normal 15 7" xfId="394"/>
    <cellStyle name="Normal 15 8" xfId="410"/>
    <cellStyle name="Normal 15 9" xfId="86"/>
    <cellStyle name="Normal 16" xfId="205"/>
    <cellStyle name="Normal 16 2" xfId="463"/>
    <cellStyle name="Normal 16_F2.1" xfId="493"/>
    <cellStyle name="Normal 17" xfId="206"/>
    <cellStyle name="Normal 18" xfId="60"/>
    <cellStyle name="Normal 18 10" xfId="445"/>
    <cellStyle name="Normal 18 2" xfId="207"/>
    <cellStyle name="Normal 18 2 2" xfId="209"/>
    <cellStyle name="Normal 18 2 3" xfId="252"/>
    <cellStyle name="Normal 18 2 4" xfId="265"/>
    <cellStyle name="Normal 18 3" xfId="329"/>
    <cellStyle name="Normal 18 4" xfId="278"/>
    <cellStyle name="Normal 18 5" xfId="333"/>
    <cellStyle name="Normal 18 6" xfId="274"/>
    <cellStyle name="Normal 18 7" xfId="337"/>
    <cellStyle name="Normal 18 8" xfId="272"/>
    <cellStyle name="Normal 18 9" xfId="87"/>
    <cellStyle name="Normal 19" xfId="210"/>
    <cellStyle name="Normal 2" xfId="10"/>
    <cellStyle name="Normal 2 2" xfId="11"/>
    <cellStyle name="Normal 2 2 2" xfId="30"/>
    <cellStyle name="Normal 2 2 2 2" xfId="56"/>
    <cellStyle name="Normal 2 2 3" xfId="468"/>
    <cellStyle name="Normal 2 2_F2.1" xfId="494"/>
    <cellStyle name="Normal 2 3" xfId="12"/>
    <cellStyle name="Normal 2 3 2" xfId="213"/>
    <cellStyle name="Normal 2 3 3" xfId="335"/>
    <cellStyle name="Normal 2 3 4" xfId="273"/>
    <cellStyle name="Normal 2 3 5" xfId="338"/>
    <cellStyle name="Normal 2 3 6" xfId="271"/>
    <cellStyle name="Normal 2 3 7" xfId="339"/>
    <cellStyle name="Normal 2 3 8" xfId="270"/>
    <cellStyle name="Normal 2 4" xfId="51"/>
    <cellStyle name="Normal 2_ARR FINAL" xfId="31"/>
    <cellStyle name="Normal 20" xfId="214"/>
    <cellStyle name="Normal 21" xfId="215"/>
    <cellStyle name="Normal 22" xfId="216"/>
    <cellStyle name="Normal 23" xfId="217"/>
    <cellStyle name="Normal 24" xfId="218"/>
    <cellStyle name="Normal 24 2" xfId="464"/>
    <cellStyle name="Normal 24_F2.1" xfId="495"/>
    <cellStyle name="Normal 25" xfId="219"/>
    <cellStyle name="Normal 25 2" xfId="466"/>
    <cellStyle name="Normal 25_F2.1" xfId="496"/>
    <cellStyle name="Normal 26" xfId="220"/>
    <cellStyle name="Normal 26 2" xfId="465"/>
    <cellStyle name="Normal 26_F2.1" xfId="497"/>
    <cellStyle name="Normal 27" xfId="221"/>
    <cellStyle name="Normal 28" xfId="222"/>
    <cellStyle name="Normal 29" xfId="223"/>
    <cellStyle name="Normal 3" xfId="13"/>
    <cellStyle name="Normal 3 10" xfId="269"/>
    <cellStyle name="Normal 3 11" xfId="342"/>
    <cellStyle name="Normal 3 12" xfId="134"/>
    <cellStyle name="Normal 3 13" xfId="360"/>
    <cellStyle name="Normal 3 14" xfId="378"/>
    <cellStyle name="Normal 3 2" xfId="32"/>
    <cellStyle name="Normal 3 2 2" xfId="57"/>
    <cellStyle name="Normal 3 2 3" xfId="225"/>
    <cellStyle name="Normal 3 2 4" xfId="341"/>
    <cellStyle name="Normal 3 2 5" xfId="268"/>
    <cellStyle name="Normal 3 2 6" xfId="343"/>
    <cellStyle name="Normal 3 2 7" xfId="142"/>
    <cellStyle name="Normal 3 2 8" xfId="362"/>
    <cellStyle name="Normal 3 2 9" xfId="380"/>
    <cellStyle name="Normal 3 3" xfId="224"/>
    <cellStyle name="Normal 3 4" xfId="226"/>
    <cellStyle name="Normal 3 5" xfId="227"/>
    <cellStyle name="Normal 3 6" xfId="228"/>
    <cellStyle name="Normal 3 7" xfId="229"/>
    <cellStyle name="Normal 3 8" xfId="230"/>
    <cellStyle name="Normal 3 9" xfId="340"/>
    <cellStyle name="Normal 30" xfId="231"/>
    <cellStyle name="Normal 31" xfId="246"/>
    <cellStyle name="Normal 32" xfId="253"/>
    <cellStyle name="Normal 33" xfId="255"/>
    <cellStyle name="Normal 34" xfId="257"/>
    <cellStyle name="Normal 35" xfId="259"/>
    <cellStyle name="Normal 36" xfId="267"/>
    <cellStyle name="Normal 37" xfId="434"/>
    <cellStyle name="Normal 38" xfId="450"/>
    <cellStyle name="Normal 39" xfId="22"/>
    <cellStyle name="Normal 4" xfId="33"/>
    <cellStyle name="Normal 4 10" xfId="166"/>
    <cellStyle name="Normal 4 11" xfId="368"/>
    <cellStyle name="Normal 4 12" xfId="386"/>
    <cellStyle name="Normal 4 13" xfId="402"/>
    <cellStyle name="Normal 4 14" xfId="417"/>
    <cellStyle name="Normal 4 2" xfId="58"/>
    <cellStyle name="Normal 4 2 2" xfId="233"/>
    <cellStyle name="Normal 4 2 3" xfId="345"/>
    <cellStyle name="Normal 4 2 4" xfId="194"/>
    <cellStyle name="Normal 4 2 5" xfId="346"/>
    <cellStyle name="Normal 4 2 6" xfId="211"/>
    <cellStyle name="Normal 4 2 7" xfId="349"/>
    <cellStyle name="Normal 4 2 8" xfId="212"/>
    <cellStyle name="Normal 4 3" xfId="232"/>
    <cellStyle name="Normal 4 4" xfId="234"/>
    <cellStyle name="Normal 4 5" xfId="235"/>
    <cellStyle name="Normal 4 6" xfId="236"/>
    <cellStyle name="Normal 4 7" xfId="237"/>
    <cellStyle name="Normal 4 8" xfId="238"/>
    <cellStyle name="Normal 4 9" xfId="344"/>
    <cellStyle name="Normal 40" xfId="452"/>
    <cellStyle name="Normal 41" xfId="454"/>
    <cellStyle name="Normal 42" xfId="456"/>
    <cellStyle name="Normal 43" xfId="459"/>
    <cellStyle name="Normal 44" xfId="472"/>
    <cellStyle name="Normal 45" xfId="480"/>
    <cellStyle name="Normal 46" xfId="481"/>
    <cellStyle name="Normal 47" xfId="482"/>
    <cellStyle name="Normal 48" xfId="483"/>
    <cellStyle name="Normal 49" xfId="484"/>
    <cellStyle name="Normal 5" xfId="34"/>
    <cellStyle name="Normal 5 10" xfId="88"/>
    <cellStyle name="Normal 5 11" xfId="446"/>
    <cellStyle name="Normal 5 2" xfId="35"/>
    <cellStyle name="Normal 5 3" xfId="239"/>
    <cellStyle name="Normal 5 4" xfId="350"/>
    <cellStyle name="Normal 5 5" xfId="369"/>
    <cellStyle name="Normal 5 6" xfId="387"/>
    <cellStyle name="Normal 5 7" xfId="403"/>
    <cellStyle name="Normal 5 8" xfId="418"/>
    <cellStyle name="Normal 5 9" xfId="429"/>
    <cellStyle name="Normal 50" xfId="485"/>
    <cellStyle name="Normal 51" xfId="486"/>
    <cellStyle name="Normal 6" xfId="36"/>
    <cellStyle name="Normal 6 2" xfId="240"/>
    <cellStyle name="Normal 6 3" xfId="351"/>
    <cellStyle name="Normal 6 4" xfId="370"/>
    <cellStyle name="Normal 6 5" xfId="388"/>
    <cellStyle name="Normal 6 6" xfId="404"/>
    <cellStyle name="Normal 6 7" xfId="419"/>
    <cellStyle name="Normal 6 8" xfId="430"/>
    <cellStyle name="Normal 7" xfId="37"/>
    <cellStyle name="Normal 7 10" xfId="447"/>
    <cellStyle name="Normal 7 2" xfId="241"/>
    <cellStyle name="Normal 7 2 2" xfId="243"/>
    <cellStyle name="Normal 7 3" xfId="352"/>
    <cellStyle name="Normal 7 4" xfId="371"/>
    <cellStyle name="Normal 7 5" xfId="389"/>
    <cellStyle name="Normal 7 6" xfId="405"/>
    <cellStyle name="Normal 7 7" xfId="420"/>
    <cellStyle name="Normal 7 8" xfId="431"/>
    <cellStyle name="Normal 7 9" xfId="89"/>
    <cellStyle name="Normal 8" xfId="52"/>
    <cellStyle name="Normal 8 2" xfId="244"/>
    <cellStyle name="Normal 8 3" xfId="354"/>
    <cellStyle name="Normal 8 4" xfId="372"/>
    <cellStyle name="Normal 8 5" xfId="390"/>
    <cellStyle name="Normal 8 6" xfId="406"/>
    <cellStyle name="Normal 8 7" xfId="422"/>
    <cellStyle name="Normal 8 8" xfId="432"/>
    <cellStyle name="Normal 9" xfId="53"/>
    <cellStyle name="Normal 9 2" xfId="245"/>
    <cellStyle name="Normal 9 3" xfId="355"/>
    <cellStyle name="Normal 9 4" xfId="373"/>
    <cellStyle name="Normal 9 5" xfId="391"/>
    <cellStyle name="Normal 9 6" xfId="407"/>
    <cellStyle name="Normal 9 7" xfId="423"/>
    <cellStyle name="Normal 9 8" xfId="433"/>
    <cellStyle name="Normal_FORMATS 5 YEAR ALOKE 2" xfId="14"/>
    <cellStyle name="Percent [0]_#6 Temps &amp; Contractors" xfId="15"/>
    <cellStyle name="Percent [2]" xfId="16"/>
    <cellStyle name="Percent 2" xfId="38"/>
    <cellStyle name="Percent 2 2" xfId="39"/>
    <cellStyle name="Percent 2 3" xfId="59"/>
    <cellStyle name="Percent 3" xfId="40"/>
    <cellStyle name="Percent 3 2" xfId="41"/>
    <cellStyle name="Percent 4" xfId="23"/>
    <cellStyle name="Percent 41" xfId="20"/>
    <cellStyle name="Percent 41 2" xfId="90"/>
    <cellStyle name="Percent 41 3" xfId="448"/>
    <cellStyle name="Percent 5" xfId="42"/>
    <cellStyle name="Percent 5 2" xfId="43"/>
    <cellStyle name="Percent 5 3" xfId="44"/>
    <cellStyle name="Percent 6" xfId="45"/>
    <cellStyle name="Percent 6 2" xfId="46"/>
    <cellStyle name="Percent 7" xfId="65"/>
    <cellStyle name="Percent 7 2" xfId="91"/>
    <cellStyle name="Percent 7 3" xfId="449"/>
    <cellStyle name="Style 1" xfId="17"/>
    <cellStyle name="Style 2" xfId="54"/>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 val="CAPI_01-02"/>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showGridLines="0" zoomScale="80" zoomScaleNormal="80" zoomScaleSheetLayoutView="80" workbookViewId="0">
      <selection activeCell="E8" sqref="E8"/>
    </sheetView>
  </sheetViews>
  <sheetFormatPr defaultColWidth="9.28515625" defaultRowHeight="15" x14ac:dyDescent="0.2"/>
  <cols>
    <col min="1" max="1" width="3.7109375" style="6" customWidth="1"/>
    <col min="2" max="2" width="7.42578125" style="6" customWidth="1"/>
    <col min="3" max="3" width="12.5703125" style="6" customWidth="1"/>
    <col min="4" max="4" width="43.28515625" style="6" customWidth="1"/>
    <col min="5" max="5" width="11.42578125" style="6" customWidth="1"/>
    <col min="6" max="6" width="20.7109375" style="6" customWidth="1"/>
    <col min="7" max="8" width="18.7109375" style="6" customWidth="1"/>
    <col min="9" max="16384" width="9.28515625" style="6"/>
  </cols>
  <sheetData>
    <row r="1" spans="2:8" ht="15.75" x14ac:dyDescent="0.2">
      <c r="B1" s="294" t="s">
        <v>382</v>
      </c>
      <c r="C1" s="294"/>
      <c r="D1" s="295"/>
      <c r="E1" s="295"/>
      <c r="F1" s="1"/>
      <c r="G1" s="1"/>
      <c r="H1" s="1"/>
    </row>
    <row r="2" spans="2:8" ht="15.75" x14ac:dyDescent="0.2">
      <c r="B2" s="294" t="s">
        <v>447</v>
      </c>
      <c r="C2" s="294"/>
      <c r="D2" s="295"/>
      <c r="E2" s="295"/>
      <c r="F2" s="1"/>
      <c r="G2" s="1"/>
      <c r="H2" s="1"/>
    </row>
    <row r="3" spans="2:8" s="10" customFormat="1" ht="15.75" x14ac:dyDescent="0.2">
      <c r="B3" s="296" t="s">
        <v>351</v>
      </c>
      <c r="C3" s="296"/>
      <c r="D3" s="297"/>
      <c r="E3" s="297"/>
      <c r="F3" s="1"/>
      <c r="G3" s="1"/>
      <c r="H3" s="1"/>
    </row>
    <row r="4" spans="2:8" ht="15.75" x14ac:dyDescent="0.2">
      <c r="D4" s="67" t="s">
        <v>353</v>
      </c>
    </row>
    <row r="5" spans="2:8" ht="15.75" x14ac:dyDescent="0.2">
      <c r="B5" s="11" t="s">
        <v>186</v>
      </c>
      <c r="C5" s="11" t="s">
        <v>352</v>
      </c>
      <c r="D5" s="12" t="s">
        <v>7</v>
      </c>
      <c r="E5" s="12" t="s">
        <v>354</v>
      </c>
    </row>
    <row r="6" spans="2:8" x14ac:dyDescent="0.2">
      <c r="B6" s="7">
        <v>1</v>
      </c>
      <c r="C6" s="7" t="s">
        <v>6</v>
      </c>
      <c r="D6" s="153" t="s">
        <v>356</v>
      </c>
      <c r="E6" s="8"/>
    </row>
    <row r="7" spans="2:8" x14ac:dyDescent="0.2">
      <c r="B7" s="7">
        <f>B6+1</f>
        <v>2</v>
      </c>
      <c r="C7" s="7" t="s">
        <v>248</v>
      </c>
      <c r="D7" s="153" t="s">
        <v>358</v>
      </c>
      <c r="E7" s="8"/>
    </row>
    <row r="8" spans="2:8" x14ac:dyDescent="0.2">
      <c r="B8" s="7">
        <f>B7+1</f>
        <v>3</v>
      </c>
      <c r="C8" s="7" t="s">
        <v>20</v>
      </c>
      <c r="D8" s="153" t="s">
        <v>359</v>
      </c>
      <c r="E8" s="8"/>
    </row>
    <row r="9" spans="2:8" x14ac:dyDescent="0.2">
      <c r="B9" s="7">
        <f>B8+1</f>
        <v>4</v>
      </c>
      <c r="C9" s="7" t="s">
        <v>21</v>
      </c>
      <c r="D9" s="153" t="s">
        <v>360</v>
      </c>
      <c r="E9" s="8"/>
    </row>
    <row r="10" spans="2:8" x14ac:dyDescent="0.2">
      <c r="B10" s="7">
        <f>B9+1</f>
        <v>5</v>
      </c>
      <c r="C10" s="7" t="s">
        <v>249</v>
      </c>
      <c r="D10" s="153" t="s">
        <v>361</v>
      </c>
      <c r="E10" s="8"/>
    </row>
    <row r="11" spans="2:8" ht="30" x14ac:dyDescent="0.2">
      <c r="B11" s="7">
        <f t="shared" ref="B11:B26" si="0">B10+1</f>
        <v>6</v>
      </c>
      <c r="C11" s="7" t="s">
        <v>18</v>
      </c>
      <c r="D11" s="153" t="s">
        <v>210</v>
      </c>
      <c r="E11" s="8"/>
    </row>
    <row r="12" spans="2:8" ht="30" x14ac:dyDescent="0.2">
      <c r="B12" s="7">
        <f t="shared" si="0"/>
        <v>7</v>
      </c>
      <c r="C12" s="7" t="s">
        <v>23</v>
      </c>
      <c r="D12" s="153" t="s">
        <v>362</v>
      </c>
      <c r="E12" s="8"/>
    </row>
    <row r="13" spans="2:8" x14ac:dyDescent="0.2">
      <c r="B13" s="7">
        <f t="shared" si="0"/>
        <v>8</v>
      </c>
      <c r="C13" s="7" t="s">
        <v>24</v>
      </c>
      <c r="D13" s="9" t="s">
        <v>183</v>
      </c>
      <c r="E13" s="8"/>
    </row>
    <row r="14" spans="2:8" x14ac:dyDescent="0.2">
      <c r="B14" s="7">
        <f t="shared" si="0"/>
        <v>9</v>
      </c>
      <c r="C14" s="7" t="s">
        <v>19</v>
      </c>
      <c r="D14" s="9" t="s">
        <v>363</v>
      </c>
      <c r="E14" s="8"/>
    </row>
    <row r="15" spans="2:8" x14ac:dyDescent="0.2">
      <c r="B15" s="7">
        <f t="shared" si="0"/>
        <v>10</v>
      </c>
      <c r="C15" s="7" t="s">
        <v>25</v>
      </c>
      <c r="D15" s="153" t="s">
        <v>223</v>
      </c>
      <c r="E15" s="8"/>
    </row>
    <row r="16" spans="2:8" x14ac:dyDescent="0.2">
      <c r="B16" s="7">
        <f t="shared" si="0"/>
        <v>11</v>
      </c>
      <c r="C16" s="7" t="s">
        <v>26</v>
      </c>
      <c r="D16" s="9" t="s">
        <v>268</v>
      </c>
      <c r="E16" s="8"/>
    </row>
    <row r="17" spans="2:5" x14ac:dyDescent="0.2">
      <c r="B17" s="7">
        <f t="shared" si="0"/>
        <v>12</v>
      </c>
      <c r="C17" s="7" t="s">
        <v>27</v>
      </c>
      <c r="D17" s="9" t="s">
        <v>224</v>
      </c>
      <c r="E17" s="8"/>
    </row>
    <row r="18" spans="2:5" x14ac:dyDescent="0.2">
      <c r="B18" s="7">
        <f t="shared" si="0"/>
        <v>13</v>
      </c>
      <c r="C18" s="7" t="s">
        <v>28</v>
      </c>
      <c r="D18" s="9" t="s">
        <v>151</v>
      </c>
      <c r="E18" s="8"/>
    </row>
    <row r="19" spans="2:5" x14ac:dyDescent="0.2">
      <c r="B19" s="7">
        <f t="shared" si="0"/>
        <v>14</v>
      </c>
      <c r="C19" s="7" t="s">
        <v>29</v>
      </c>
      <c r="D19" s="9" t="s">
        <v>22</v>
      </c>
      <c r="E19" s="8"/>
    </row>
    <row r="20" spans="2:5" x14ac:dyDescent="0.2">
      <c r="B20" s="7">
        <f t="shared" si="0"/>
        <v>15</v>
      </c>
      <c r="C20" s="7" t="s">
        <v>30</v>
      </c>
      <c r="D20" s="153" t="s">
        <v>364</v>
      </c>
      <c r="E20" s="8"/>
    </row>
    <row r="21" spans="2:5" ht="30" x14ac:dyDescent="0.2">
      <c r="B21" s="7">
        <f t="shared" si="0"/>
        <v>16</v>
      </c>
      <c r="C21" s="7" t="s">
        <v>31</v>
      </c>
      <c r="D21" s="153" t="s">
        <v>365</v>
      </c>
      <c r="E21" s="8"/>
    </row>
    <row r="22" spans="2:5" x14ac:dyDescent="0.2">
      <c r="B22" s="7">
        <f t="shared" si="0"/>
        <v>17</v>
      </c>
      <c r="C22" s="7" t="s">
        <v>159</v>
      </c>
      <c r="D22" s="153" t="s">
        <v>227</v>
      </c>
      <c r="E22" s="8"/>
    </row>
    <row r="23" spans="2:5" x14ac:dyDescent="0.2">
      <c r="B23" s="7">
        <f t="shared" si="0"/>
        <v>18</v>
      </c>
      <c r="C23" s="7" t="s">
        <v>163</v>
      </c>
      <c r="D23" s="153" t="s">
        <v>366</v>
      </c>
      <c r="E23" s="8"/>
    </row>
    <row r="24" spans="2:5" x14ac:dyDescent="0.2">
      <c r="B24" s="7">
        <f t="shared" si="0"/>
        <v>19</v>
      </c>
      <c r="C24" s="7" t="s">
        <v>355</v>
      </c>
      <c r="D24" s="153" t="s">
        <v>218</v>
      </c>
      <c r="E24" s="8"/>
    </row>
    <row r="25" spans="2:5" x14ac:dyDescent="0.2">
      <c r="B25" s="7">
        <f t="shared" si="0"/>
        <v>20</v>
      </c>
      <c r="C25" s="7" t="s">
        <v>212</v>
      </c>
      <c r="D25" s="153" t="s">
        <v>367</v>
      </c>
      <c r="E25" s="8"/>
    </row>
    <row r="26" spans="2:5" x14ac:dyDescent="0.2">
      <c r="B26" s="7">
        <f t="shared" si="0"/>
        <v>21</v>
      </c>
      <c r="C26" s="7" t="s">
        <v>213</v>
      </c>
      <c r="D26" s="9" t="s">
        <v>368</v>
      </c>
      <c r="E26" s="8"/>
    </row>
  </sheetData>
  <mergeCells count="3">
    <mergeCell ref="B1:E1"/>
    <mergeCell ref="B3:E3"/>
    <mergeCell ref="B2:E2"/>
  </mergeCells>
  <phoneticPr fontId="14" type="noConversion"/>
  <pageMargins left="1.3" right="0.23622047244094499" top="1.1023622047244099" bottom="0.98425196850393704" header="0.23622047244094499" footer="0.23622047244094499"/>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7"/>
  <sheetViews>
    <sheetView topLeftCell="A24" zoomScale="93" zoomScaleNormal="93" zoomScaleSheetLayoutView="90" workbookViewId="0">
      <selection activeCell="P30" sqref="P1:P1048576"/>
    </sheetView>
  </sheetViews>
  <sheetFormatPr defaultColWidth="9.28515625" defaultRowHeight="14.25" x14ac:dyDescent="0.2"/>
  <cols>
    <col min="1" max="1" width="4.28515625" style="5" customWidth="1"/>
    <col min="2" max="2" width="5.140625" style="5" customWidth="1"/>
    <col min="3" max="3" width="23.140625" style="5" customWidth="1"/>
    <col min="4" max="4" width="8.140625" style="5" customWidth="1"/>
    <col min="5" max="5" width="11.28515625" style="5" customWidth="1"/>
    <col min="6" max="6" width="11.140625" style="5" customWidth="1"/>
    <col min="7" max="7" width="9.5703125" style="5" customWidth="1"/>
    <col min="8" max="8" width="12.28515625" style="5" customWidth="1"/>
    <col min="9" max="9" width="10.7109375" style="5" customWidth="1"/>
    <col min="10" max="10" width="14.140625" style="5" customWidth="1"/>
    <col min="11" max="11" width="9.5703125" style="5" customWidth="1"/>
    <col min="12" max="12" width="9.42578125" style="5" customWidth="1"/>
    <col min="13" max="13" width="12.85546875" style="5" customWidth="1"/>
    <col min="14" max="14" width="12.5703125" style="5" customWidth="1"/>
    <col min="15" max="15" width="10.7109375" style="5" customWidth="1"/>
    <col min="16" max="21" width="11.7109375" style="5" bestFit="1" customWidth="1"/>
    <col min="22" max="16384" width="9.28515625" style="5"/>
  </cols>
  <sheetData>
    <row r="1" spans="2:15" ht="6" customHeight="1" x14ac:dyDescent="0.2">
      <c r="B1" s="24"/>
    </row>
    <row r="2" spans="2:15" ht="15" x14ac:dyDescent="0.2">
      <c r="H2" s="32" t="s">
        <v>383</v>
      </c>
      <c r="I2" s="33"/>
    </row>
    <row r="3" spans="2:15" ht="15" x14ac:dyDescent="0.2">
      <c r="H3" s="32" t="s">
        <v>448</v>
      </c>
      <c r="I3" s="33"/>
    </row>
    <row r="4" spans="2:15" ht="15" x14ac:dyDescent="0.2">
      <c r="H4" s="35" t="s">
        <v>253</v>
      </c>
      <c r="I4" s="35"/>
    </row>
    <row r="5" spans="2:15" ht="10.5" customHeight="1" x14ac:dyDescent="0.2">
      <c r="K5" s="35"/>
      <c r="O5" s="32" t="s">
        <v>4</v>
      </c>
    </row>
    <row r="6" spans="2:15" ht="7.5" customHeight="1" thickBot="1" x14ac:dyDescent="0.25">
      <c r="F6" s="137"/>
      <c r="G6" s="137"/>
      <c r="H6" s="137"/>
      <c r="I6" s="137"/>
      <c r="J6" s="137"/>
      <c r="K6" s="137"/>
      <c r="L6" s="137"/>
      <c r="M6" s="137"/>
      <c r="N6" s="137"/>
      <c r="O6" s="137"/>
    </row>
    <row r="7" spans="2:15" ht="15" x14ac:dyDescent="0.2">
      <c r="B7" s="319" t="s">
        <v>384</v>
      </c>
      <c r="C7" s="320"/>
      <c r="D7" s="320"/>
      <c r="E7" s="320"/>
      <c r="F7" s="320"/>
      <c r="G7" s="320"/>
      <c r="H7" s="320"/>
      <c r="I7" s="320"/>
      <c r="J7" s="320"/>
      <c r="K7" s="320"/>
      <c r="L7" s="320"/>
      <c r="M7" s="320"/>
      <c r="N7" s="320"/>
      <c r="O7" s="321"/>
    </row>
    <row r="8" spans="2:15" ht="14.25" customHeight="1" x14ac:dyDescent="0.2">
      <c r="B8" s="322" t="s">
        <v>2</v>
      </c>
      <c r="C8" s="324" t="s">
        <v>247</v>
      </c>
      <c r="D8" s="326" t="s">
        <v>236</v>
      </c>
      <c r="E8" s="326" t="s">
        <v>237</v>
      </c>
      <c r="F8" s="326" t="s">
        <v>238</v>
      </c>
      <c r="G8" s="326"/>
      <c r="H8" s="326"/>
      <c r="I8" s="326"/>
      <c r="J8" s="326" t="s">
        <v>239</v>
      </c>
      <c r="K8" s="326"/>
      <c r="L8" s="326"/>
      <c r="M8" s="326"/>
      <c r="N8" s="326" t="s">
        <v>240</v>
      </c>
      <c r="O8" s="329"/>
    </row>
    <row r="9" spans="2:15" ht="60.75" thickBot="1" x14ac:dyDescent="0.25">
      <c r="B9" s="323"/>
      <c r="C9" s="325"/>
      <c r="D9" s="327"/>
      <c r="E9" s="328"/>
      <c r="F9" s="65" t="s">
        <v>241</v>
      </c>
      <c r="G9" s="65" t="s">
        <v>133</v>
      </c>
      <c r="H9" s="65" t="s">
        <v>242</v>
      </c>
      <c r="I9" s="65" t="s">
        <v>243</v>
      </c>
      <c r="J9" s="65" t="s">
        <v>244</v>
      </c>
      <c r="K9" s="65" t="s">
        <v>133</v>
      </c>
      <c r="L9" s="65" t="s">
        <v>245</v>
      </c>
      <c r="M9" s="65" t="s">
        <v>246</v>
      </c>
      <c r="N9" s="65" t="s">
        <v>241</v>
      </c>
      <c r="O9" s="66" t="s">
        <v>243</v>
      </c>
    </row>
    <row r="10" spans="2:15" x14ac:dyDescent="0.2">
      <c r="B10" s="168">
        <v>1</v>
      </c>
      <c r="C10" s="169" t="s">
        <v>450</v>
      </c>
      <c r="D10" s="176">
        <v>1000</v>
      </c>
      <c r="E10" s="138"/>
      <c r="F10" s="170">
        <v>190.548846277</v>
      </c>
      <c r="G10" s="170">
        <v>0</v>
      </c>
      <c r="H10" s="140"/>
      <c r="I10" s="139">
        <f>F10+G10+H10</f>
        <v>190.548846277</v>
      </c>
      <c r="J10" s="170">
        <v>129.30340944600002</v>
      </c>
      <c r="K10" s="170">
        <v>2.399462684</v>
      </c>
      <c r="L10" s="140"/>
      <c r="M10" s="139">
        <f>J10+K10+L10</f>
        <v>131.70287213000003</v>
      </c>
      <c r="N10" s="140">
        <f>+F10-J10</f>
        <v>61.245436830999978</v>
      </c>
      <c r="O10" s="140">
        <f>+I10-M10</f>
        <v>58.845974146999964</v>
      </c>
    </row>
    <row r="11" spans="2:15" x14ac:dyDescent="0.2">
      <c r="B11" s="168">
        <v>2</v>
      </c>
      <c r="C11" s="169" t="s">
        <v>451</v>
      </c>
      <c r="D11" s="176">
        <v>1300</v>
      </c>
      <c r="E11" s="138"/>
      <c r="F11" s="170">
        <v>2043.1024752069998</v>
      </c>
      <c r="G11" s="170">
        <v>0</v>
      </c>
      <c r="H11" s="140"/>
      <c r="I11" s="139">
        <f t="shared" ref="I11:I17" si="0">F11+G11+H11</f>
        <v>2043.1024752069998</v>
      </c>
      <c r="J11" s="170">
        <v>1659.7249414349997</v>
      </c>
      <c r="K11" s="170">
        <v>13.490710016999998</v>
      </c>
      <c r="L11" s="140"/>
      <c r="M11" s="139">
        <f t="shared" ref="M11:M17" si="1">J11+K11+L11</f>
        <v>1673.2156514519997</v>
      </c>
      <c r="N11" s="140">
        <f t="shared" ref="N11:N17" si="2">+F11-J11</f>
        <v>383.37753377200011</v>
      </c>
      <c r="O11" s="140">
        <f t="shared" ref="O11:O17" si="3">+I11-M11</f>
        <v>369.88682375500002</v>
      </c>
    </row>
    <row r="12" spans="2:15" x14ac:dyDescent="0.2">
      <c r="B12" s="168">
        <v>3</v>
      </c>
      <c r="C12" s="169" t="s">
        <v>452</v>
      </c>
      <c r="D12" s="176">
        <v>1400</v>
      </c>
      <c r="E12" s="141"/>
      <c r="F12" s="170">
        <v>15.863765349000001</v>
      </c>
      <c r="G12" s="170">
        <v>2.509506</v>
      </c>
      <c r="H12" s="140"/>
      <c r="I12" s="139">
        <f t="shared" si="0"/>
        <v>18.373271348999999</v>
      </c>
      <c r="J12" s="170">
        <v>4.1204466770000003</v>
      </c>
      <c r="K12" s="170">
        <v>0.95055080700000005</v>
      </c>
      <c r="L12" s="140"/>
      <c r="M12" s="139">
        <f t="shared" si="1"/>
        <v>5.0709974840000003</v>
      </c>
      <c r="N12" s="140">
        <f t="shared" si="2"/>
        <v>11.743318672000001</v>
      </c>
      <c r="O12" s="140">
        <f t="shared" si="3"/>
        <v>13.302273865</v>
      </c>
    </row>
    <row r="13" spans="2:15" x14ac:dyDescent="0.2">
      <c r="B13" s="168">
        <v>4</v>
      </c>
      <c r="C13" s="169" t="s">
        <v>453</v>
      </c>
      <c r="D13" s="176">
        <v>1500</v>
      </c>
      <c r="E13" s="141"/>
      <c r="F13" s="170">
        <v>178.79276744500001</v>
      </c>
      <c r="G13" s="170">
        <v>0</v>
      </c>
      <c r="H13" s="140"/>
      <c r="I13" s="139">
        <f t="shared" si="0"/>
        <v>178.79276744500001</v>
      </c>
      <c r="J13" s="170">
        <v>148.756375045</v>
      </c>
      <c r="K13" s="170">
        <v>1.2061530759999999</v>
      </c>
      <c r="L13" s="140"/>
      <c r="M13" s="139">
        <f t="shared" si="1"/>
        <v>149.96252812099999</v>
      </c>
      <c r="N13" s="140">
        <f t="shared" si="2"/>
        <v>30.036392400000011</v>
      </c>
      <c r="O13" s="140">
        <f t="shared" si="3"/>
        <v>28.830239324000019</v>
      </c>
    </row>
    <row r="14" spans="2:15" x14ac:dyDescent="0.2">
      <c r="B14" s="168">
        <v>5</v>
      </c>
      <c r="C14" s="169" t="s">
        <v>454</v>
      </c>
      <c r="D14" s="176">
        <v>1600</v>
      </c>
      <c r="E14" s="141"/>
      <c r="F14" s="170">
        <v>43.499116899999997</v>
      </c>
      <c r="G14" s="170">
        <v>0.28948043200000001</v>
      </c>
      <c r="H14" s="140"/>
      <c r="I14" s="139">
        <f>F14+G14+H14</f>
        <v>43.788597331999995</v>
      </c>
      <c r="J14" s="170">
        <v>13.959704594</v>
      </c>
      <c r="K14" s="170">
        <v>4.3516081920000005</v>
      </c>
      <c r="L14" s="140"/>
      <c r="M14" s="139">
        <f t="shared" si="1"/>
        <v>18.311312786000002</v>
      </c>
      <c r="N14" s="140">
        <f t="shared" si="2"/>
        <v>29.539412305999996</v>
      </c>
      <c r="O14" s="140">
        <f t="shared" si="3"/>
        <v>25.477284545999993</v>
      </c>
    </row>
    <row r="15" spans="2:15" x14ac:dyDescent="0.2">
      <c r="B15" s="168">
        <v>6</v>
      </c>
      <c r="C15" s="169" t="s">
        <v>455</v>
      </c>
      <c r="D15" s="176">
        <v>1800</v>
      </c>
      <c r="E15" s="141"/>
      <c r="F15" s="170">
        <v>0.62053437499999997</v>
      </c>
      <c r="G15" s="170">
        <v>0</v>
      </c>
      <c r="H15" s="140"/>
      <c r="I15" s="139">
        <f t="shared" si="0"/>
        <v>0.62053437499999997</v>
      </c>
      <c r="J15" s="170">
        <v>0.54078930199999997</v>
      </c>
      <c r="K15" s="170">
        <v>4.4042580000000003E-3</v>
      </c>
      <c r="L15" s="140"/>
      <c r="M15" s="139">
        <f t="shared" si="1"/>
        <v>0.54519355999999997</v>
      </c>
      <c r="N15" s="140">
        <f t="shared" si="2"/>
        <v>7.9745073E-2</v>
      </c>
      <c r="O15" s="140">
        <f t="shared" si="3"/>
        <v>7.5340815000000005E-2</v>
      </c>
    </row>
    <row r="16" spans="2:15" x14ac:dyDescent="0.2">
      <c r="B16" s="168">
        <v>7</v>
      </c>
      <c r="C16" s="169" t="s">
        <v>390</v>
      </c>
      <c r="D16" s="176">
        <v>1900</v>
      </c>
      <c r="E16" s="141"/>
      <c r="F16" s="170">
        <v>0.69570474299999996</v>
      </c>
      <c r="G16" s="170">
        <v>0</v>
      </c>
      <c r="H16" s="140"/>
      <c r="I16" s="139">
        <f t="shared" si="0"/>
        <v>0.69570474299999996</v>
      </c>
      <c r="J16" s="170">
        <v>0.55484649500000005</v>
      </c>
      <c r="K16" s="170">
        <v>9.6770260999999996E-2</v>
      </c>
      <c r="L16" s="140"/>
      <c r="M16" s="139">
        <f t="shared" si="1"/>
        <v>0.65161675600000002</v>
      </c>
      <c r="N16" s="140">
        <f t="shared" si="2"/>
        <v>0.14085824799999991</v>
      </c>
      <c r="O16" s="140">
        <f t="shared" si="3"/>
        <v>4.408798699999994E-2</v>
      </c>
    </row>
    <row r="17" spans="2:15" x14ac:dyDescent="0.2">
      <c r="B17" s="168">
        <v>8</v>
      </c>
      <c r="C17" s="169" t="s">
        <v>456</v>
      </c>
      <c r="D17" s="176">
        <v>2100</v>
      </c>
      <c r="E17" s="141"/>
      <c r="F17" s="170">
        <v>0.106789704</v>
      </c>
      <c r="G17" s="170">
        <v>0</v>
      </c>
      <c r="H17" s="140"/>
      <c r="I17" s="139">
        <f t="shared" si="0"/>
        <v>0.106789704</v>
      </c>
      <c r="J17" s="170">
        <v>8.9487006000000008E-2</v>
      </c>
      <c r="K17" s="170">
        <v>1.0340705E-2</v>
      </c>
      <c r="L17" s="140"/>
      <c r="M17" s="139">
        <f t="shared" si="1"/>
        <v>9.9827711000000013E-2</v>
      </c>
      <c r="N17" s="140">
        <f t="shared" si="2"/>
        <v>1.7302697999999991E-2</v>
      </c>
      <c r="O17" s="140">
        <f t="shared" si="3"/>
        <v>6.9619929999999858E-3</v>
      </c>
    </row>
    <row r="18" spans="2:15" s="49" customFormat="1" ht="15.75" thickBot="1" x14ac:dyDescent="0.25">
      <c r="B18" s="151"/>
      <c r="C18" s="152" t="s">
        <v>134</v>
      </c>
      <c r="D18" s="152"/>
      <c r="E18" s="149"/>
      <c r="F18" s="148">
        <f>ROUND(SUM(F10:F17),2)</f>
        <v>2473.23</v>
      </c>
      <c r="G18" s="148">
        <f t="shared" ref="G18:O18" si="4">ROUND(SUM(G10:G17),2)</f>
        <v>2.8</v>
      </c>
      <c r="H18" s="148">
        <f t="shared" si="4"/>
        <v>0</v>
      </c>
      <c r="I18" s="148">
        <f t="shared" si="4"/>
        <v>2476.0300000000002</v>
      </c>
      <c r="J18" s="148">
        <f t="shared" si="4"/>
        <v>1957.05</v>
      </c>
      <c r="K18" s="148">
        <f t="shared" si="4"/>
        <v>22.51</v>
      </c>
      <c r="L18" s="148">
        <f t="shared" si="4"/>
        <v>0</v>
      </c>
      <c r="M18" s="148">
        <f t="shared" si="4"/>
        <v>1979.56</v>
      </c>
      <c r="N18" s="148">
        <f t="shared" si="4"/>
        <v>516.17999999999995</v>
      </c>
      <c r="O18" s="148">
        <f t="shared" si="4"/>
        <v>496.47</v>
      </c>
    </row>
    <row r="19" spans="2:15" ht="15" thickBot="1" x14ac:dyDescent="0.25">
      <c r="F19" s="150"/>
      <c r="G19" s="150"/>
      <c r="H19" s="150"/>
      <c r="I19" s="150"/>
      <c r="J19" s="150"/>
      <c r="K19" s="150"/>
      <c r="L19" s="150"/>
      <c r="M19" s="150"/>
      <c r="N19" s="150"/>
      <c r="O19" s="150"/>
    </row>
    <row r="20" spans="2:15" ht="15" x14ac:dyDescent="0.2">
      <c r="B20" s="319" t="s">
        <v>385</v>
      </c>
      <c r="C20" s="320"/>
      <c r="D20" s="320"/>
      <c r="E20" s="320"/>
      <c r="F20" s="320"/>
      <c r="G20" s="320"/>
      <c r="H20" s="320"/>
      <c r="I20" s="320"/>
      <c r="J20" s="320"/>
      <c r="K20" s="320"/>
      <c r="L20" s="320"/>
      <c r="M20" s="320"/>
      <c r="N20" s="320"/>
      <c r="O20" s="321"/>
    </row>
    <row r="21" spans="2:15" ht="15" x14ac:dyDescent="0.2">
      <c r="B21" s="322" t="s">
        <v>2</v>
      </c>
      <c r="C21" s="324" t="s">
        <v>247</v>
      </c>
      <c r="D21" s="326" t="s">
        <v>236</v>
      </c>
      <c r="E21" s="326" t="s">
        <v>237</v>
      </c>
      <c r="F21" s="326" t="s">
        <v>238</v>
      </c>
      <c r="G21" s="326"/>
      <c r="H21" s="326"/>
      <c r="I21" s="326"/>
      <c r="J21" s="326" t="s">
        <v>239</v>
      </c>
      <c r="K21" s="326"/>
      <c r="L21" s="326"/>
      <c r="M21" s="326"/>
      <c r="N21" s="326" t="s">
        <v>240</v>
      </c>
      <c r="O21" s="329"/>
    </row>
    <row r="22" spans="2:15" ht="60.75" thickBot="1" x14ac:dyDescent="0.25">
      <c r="B22" s="330"/>
      <c r="C22" s="331"/>
      <c r="D22" s="328"/>
      <c r="E22" s="328"/>
      <c r="F22" s="65" t="s">
        <v>241</v>
      </c>
      <c r="G22" s="65" t="s">
        <v>133</v>
      </c>
      <c r="H22" s="65" t="s">
        <v>242</v>
      </c>
      <c r="I22" s="65" t="s">
        <v>243</v>
      </c>
      <c r="J22" s="65" t="s">
        <v>244</v>
      </c>
      <c r="K22" s="65" t="s">
        <v>133</v>
      </c>
      <c r="L22" s="65" t="s">
        <v>245</v>
      </c>
      <c r="M22" s="65" t="s">
        <v>246</v>
      </c>
      <c r="N22" s="65" t="s">
        <v>241</v>
      </c>
      <c r="O22" s="66" t="s">
        <v>243</v>
      </c>
    </row>
    <row r="23" spans="2:15" x14ac:dyDescent="0.2">
      <c r="B23" s="168">
        <v>1</v>
      </c>
      <c r="C23" s="169" t="s">
        <v>450</v>
      </c>
      <c r="D23" s="176">
        <v>1000</v>
      </c>
      <c r="E23" s="138"/>
      <c r="F23" s="140">
        <f t="shared" ref="F23:F30" si="5">I10</f>
        <v>190.548846277</v>
      </c>
      <c r="G23" s="140"/>
      <c r="H23" s="140"/>
      <c r="I23" s="139">
        <f>F23+G23+H23</f>
        <v>190.548846277</v>
      </c>
      <c r="J23" s="140">
        <f t="shared" ref="J23:J30" si="6">M10</f>
        <v>131.70287213000003</v>
      </c>
      <c r="K23" s="170">
        <v>2.399462684</v>
      </c>
      <c r="L23" s="140"/>
      <c r="M23" s="139">
        <f>J23+K23+L23</f>
        <v>134.10233481400005</v>
      </c>
      <c r="N23" s="140">
        <f>+F23-J23</f>
        <v>58.845974146999964</v>
      </c>
      <c r="O23" s="140">
        <f>+I23-M23</f>
        <v>56.44651146299995</v>
      </c>
    </row>
    <row r="24" spans="2:15" x14ac:dyDescent="0.2">
      <c r="B24" s="168">
        <v>2</v>
      </c>
      <c r="C24" s="169" t="s">
        <v>451</v>
      </c>
      <c r="D24" s="176">
        <v>1300</v>
      </c>
      <c r="E24" s="138"/>
      <c r="F24" s="140">
        <f t="shared" si="5"/>
        <v>2043.1024752069998</v>
      </c>
      <c r="G24" s="140">
        <v>0.18</v>
      </c>
      <c r="H24" s="140"/>
      <c r="I24" s="139">
        <f t="shared" ref="I24:I30" si="7">F24+G24+H24</f>
        <v>2043.2824752069998</v>
      </c>
      <c r="J24" s="140">
        <f t="shared" si="6"/>
        <v>1673.2156514519997</v>
      </c>
      <c r="K24" s="170">
        <f>13.717820983</f>
        <v>13.717820982999999</v>
      </c>
      <c r="L24" s="140"/>
      <c r="M24" s="139">
        <f t="shared" ref="M24:M30" si="8">J24+K24+L24</f>
        <v>1686.9334724349997</v>
      </c>
      <c r="N24" s="140">
        <f t="shared" ref="N24:N30" si="9">+F24-J24</f>
        <v>369.88682375500002</v>
      </c>
      <c r="O24" s="140">
        <f t="shared" ref="O24:O30" si="10">+I24-M24</f>
        <v>356.34900277200018</v>
      </c>
    </row>
    <row r="25" spans="2:15" x14ac:dyDescent="0.2">
      <c r="B25" s="168">
        <v>3</v>
      </c>
      <c r="C25" s="169" t="s">
        <v>452</v>
      </c>
      <c r="D25" s="176">
        <v>1400</v>
      </c>
      <c r="E25" s="141"/>
      <c r="F25" s="140">
        <f t="shared" si="5"/>
        <v>18.373271348999999</v>
      </c>
      <c r="G25" s="140"/>
      <c r="H25" s="140"/>
      <c r="I25" s="139">
        <f t="shared" si="7"/>
        <v>18.373271348999999</v>
      </c>
      <c r="J25" s="140">
        <f t="shared" si="6"/>
        <v>5.0709974840000003</v>
      </c>
      <c r="K25" s="170">
        <v>0.95055080700000005</v>
      </c>
      <c r="L25" s="140"/>
      <c r="M25" s="139">
        <f t="shared" si="8"/>
        <v>6.0215482910000002</v>
      </c>
      <c r="N25" s="140">
        <f t="shared" si="9"/>
        <v>13.302273865</v>
      </c>
      <c r="O25" s="140">
        <f t="shared" si="10"/>
        <v>12.351723057999999</v>
      </c>
    </row>
    <row r="26" spans="2:15" x14ac:dyDescent="0.2">
      <c r="B26" s="168">
        <v>4</v>
      </c>
      <c r="C26" s="169" t="s">
        <v>453</v>
      </c>
      <c r="D26" s="176">
        <v>1500</v>
      </c>
      <c r="E26" s="141"/>
      <c r="F26" s="140">
        <f t="shared" si="5"/>
        <v>178.79276744500001</v>
      </c>
      <c r="G26" s="140"/>
      <c r="H26" s="140"/>
      <c r="I26" s="139">
        <f t="shared" si="7"/>
        <v>178.79276744500001</v>
      </c>
      <c r="J26" s="140">
        <f t="shared" si="6"/>
        <v>149.96252812099999</v>
      </c>
      <c r="K26" s="170">
        <v>1.2061530759999999</v>
      </c>
      <c r="L26" s="140"/>
      <c r="M26" s="139">
        <f t="shared" si="8"/>
        <v>151.16868119699998</v>
      </c>
      <c r="N26" s="140">
        <f t="shared" si="9"/>
        <v>28.830239324000019</v>
      </c>
      <c r="O26" s="140">
        <f t="shared" si="10"/>
        <v>27.624086248000026</v>
      </c>
    </row>
    <row r="27" spans="2:15" x14ac:dyDescent="0.2">
      <c r="B27" s="168">
        <v>5</v>
      </c>
      <c r="C27" s="169" t="s">
        <v>454</v>
      </c>
      <c r="D27" s="176">
        <v>1600</v>
      </c>
      <c r="E27" s="141"/>
      <c r="F27" s="140">
        <f t="shared" si="5"/>
        <v>43.788597331999995</v>
      </c>
      <c r="G27" s="140"/>
      <c r="H27" s="140"/>
      <c r="I27" s="139">
        <f t="shared" si="7"/>
        <v>43.788597331999995</v>
      </c>
      <c r="J27" s="140">
        <f t="shared" si="6"/>
        <v>18.311312786000002</v>
      </c>
      <c r="K27" s="170">
        <v>4.3516081920000005</v>
      </c>
      <c r="L27" s="140"/>
      <c r="M27" s="139">
        <f t="shared" si="8"/>
        <v>22.662920978000002</v>
      </c>
      <c r="N27" s="140">
        <f t="shared" si="9"/>
        <v>25.477284545999993</v>
      </c>
      <c r="O27" s="140">
        <f t="shared" si="10"/>
        <v>21.125676353999992</v>
      </c>
    </row>
    <row r="28" spans="2:15" x14ac:dyDescent="0.2">
      <c r="B28" s="168">
        <v>6</v>
      </c>
      <c r="C28" s="169" t="s">
        <v>455</v>
      </c>
      <c r="D28" s="176">
        <v>1800</v>
      </c>
      <c r="E28" s="141"/>
      <c r="F28" s="140">
        <f t="shared" si="5"/>
        <v>0.62053437499999997</v>
      </c>
      <c r="G28" s="140"/>
      <c r="H28" s="140"/>
      <c r="I28" s="139">
        <f t="shared" si="7"/>
        <v>0.62053437499999997</v>
      </c>
      <c r="J28" s="140">
        <f t="shared" si="6"/>
        <v>0.54519355999999997</v>
      </c>
      <c r="K28" s="170">
        <v>4.4042580000000003E-3</v>
      </c>
      <c r="L28" s="140"/>
      <c r="M28" s="139">
        <f t="shared" si="8"/>
        <v>0.54959781799999996</v>
      </c>
      <c r="N28" s="140">
        <f t="shared" si="9"/>
        <v>7.5340815000000005E-2</v>
      </c>
      <c r="O28" s="244">
        <f t="shared" si="10"/>
        <v>7.0936557000000011E-2</v>
      </c>
    </row>
    <row r="29" spans="2:15" x14ac:dyDescent="0.2">
      <c r="B29" s="168">
        <v>7</v>
      </c>
      <c r="C29" s="169" t="s">
        <v>390</v>
      </c>
      <c r="D29" s="176">
        <v>1900</v>
      </c>
      <c r="E29" s="141"/>
      <c r="F29" s="140">
        <f t="shared" si="5"/>
        <v>0.69570474299999996</v>
      </c>
      <c r="G29" s="140"/>
      <c r="H29" s="140"/>
      <c r="I29" s="139">
        <f t="shared" si="7"/>
        <v>0.69570474299999996</v>
      </c>
      <c r="J29" s="140">
        <f t="shared" si="6"/>
        <v>0.65161675600000002</v>
      </c>
      <c r="K29" s="170"/>
      <c r="L29" s="140"/>
      <c r="M29" s="139">
        <f t="shared" si="8"/>
        <v>0.65161675600000002</v>
      </c>
      <c r="N29" s="140">
        <f t="shared" si="9"/>
        <v>4.408798699999994E-2</v>
      </c>
      <c r="O29" s="244">
        <f t="shared" si="10"/>
        <v>4.408798699999994E-2</v>
      </c>
    </row>
    <row r="30" spans="2:15" x14ac:dyDescent="0.2">
      <c r="B30" s="168">
        <v>8</v>
      </c>
      <c r="C30" s="169" t="s">
        <v>456</v>
      </c>
      <c r="D30" s="176">
        <v>2100</v>
      </c>
      <c r="E30" s="141"/>
      <c r="F30" s="140">
        <f t="shared" si="5"/>
        <v>0.106789704</v>
      </c>
      <c r="G30" s="140"/>
      <c r="H30" s="140"/>
      <c r="I30" s="139">
        <f t="shared" si="7"/>
        <v>0.106789704</v>
      </c>
      <c r="J30" s="140">
        <f t="shared" si="6"/>
        <v>9.9827711000000013E-2</v>
      </c>
      <c r="K30" s="170"/>
      <c r="L30" s="140"/>
      <c r="M30" s="139">
        <f t="shared" si="8"/>
        <v>9.9827711000000013E-2</v>
      </c>
      <c r="N30" s="140">
        <f t="shared" si="9"/>
        <v>6.9619929999999858E-3</v>
      </c>
      <c r="O30" s="244">
        <f t="shared" si="10"/>
        <v>6.9619929999999858E-3</v>
      </c>
    </row>
    <row r="31" spans="2:15" s="49" customFormat="1" ht="15.75" thickBot="1" x14ac:dyDescent="0.25">
      <c r="B31" s="151"/>
      <c r="C31" s="152" t="s">
        <v>134</v>
      </c>
      <c r="D31" s="152"/>
      <c r="E31" s="149">
        <f>IFERROR((K31-L31)/AVERAGE(F31,I31),0)</f>
        <v>9.139298580036509E-3</v>
      </c>
      <c r="F31" s="148">
        <f>ROUND(SUM(F23:F30),2)</f>
        <v>2476.0300000000002</v>
      </c>
      <c r="G31" s="148">
        <f t="shared" ref="G31:O31" si="11">ROUND(SUM(G23:G30),2)</f>
        <v>0.18</v>
      </c>
      <c r="H31" s="148">
        <f t="shared" si="11"/>
        <v>0</v>
      </c>
      <c r="I31" s="148">
        <f t="shared" si="11"/>
        <v>2476.21</v>
      </c>
      <c r="J31" s="148">
        <f t="shared" si="11"/>
        <v>1979.56</v>
      </c>
      <c r="K31" s="148">
        <f t="shared" si="11"/>
        <v>22.63</v>
      </c>
      <c r="L31" s="148">
        <f t="shared" si="11"/>
        <v>0</v>
      </c>
      <c r="M31" s="148">
        <f t="shared" si="11"/>
        <v>2002.19</v>
      </c>
      <c r="N31" s="148">
        <f t="shared" si="11"/>
        <v>496.47</v>
      </c>
      <c r="O31" s="245">
        <f t="shared" si="11"/>
        <v>474.02</v>
      </c>
    </row>
    <row r="32" spans="2:15" ht="15" thickBot="1" x14ac:dyDescent="0.25">
      <c r="J32" s="150"/>
      <c r="K32" s="150"/>
    </row>
    <row r="33" spans="2:15" ht="15" x14ac:dyDescent="0.2">
      <c r="B33" s="319" t="s">
        <v>445</v>
      </c>
      <c r="C33" s="320"/>
      <c r="D33" s="320"/>
      <c r="E33" s="320"/>
      <c r="F33" s="320"/>
      <c r="G33" s="320"/>
      <c r="H33" s="320"/>
      <c r="I33" s="320"/>
      <c r="J33" s="320"/>
      <c r="K33" s="320"/>
      <c r="L33" s="320"/>
      <c r="M33" s="320"/>
      <c r="N33" s="320"/>
      <c r="O33" s="321"/>
    </row>
    <row r="34" spans="2:15" ht="15" x14ac:dyDescent="0.2">
      <c r="B34" s="322" t="s">
        <v>2</v>
      </c>
      <c r="C34" s="324" t="s">
        <v>247</v>
      </c>
      <c r="D34" s="326" t="s">
        <v>236</v>
      </c>
      <c r="E34" s="326" t="s">
        <v>237</v>
      </c>
      <c r="F34" s="326" t="s">
        <v>238</v>
      </c>
      <c r="G34" s="326"/>
      <c r="H34" s="326"/>
      <c r="I34" s="326"/>
      <c r="J34" s="326" t="s">
        <v>239</v>
      </c>
      <c r="K34" s="326"/>
      <c r="L34" s="326"/>
      <c r="M34" s="326"/>
      <c r="N34" s="326" t="s">
        <v>240</v>
      </c>
      <c r="O34" s="329"/>
    </row>
    <row r="35" spans="2:15" ht="60.75" thickBot="1" x14ac:dyDescent="0.25">
      <c r="B35" s="323"/>
      <c r="C35" s="325"/>
      <c r="D35" s="327"/>
      <c r="E35" s="328"/>
      <c r="F35" s="65" t="s">
        <v>241</v>
      </c>
      <c r="G35" s="65" t="s">
        <v>133</v>
      </c>
      <c r="H35" s="65" t="s">
        <v>242</v>
      </c>
      <c r="I35" s="65" t="s">
        <v>243</v>
      </c>
      <c r="J35" s="65" t="s">
        <v>244</v>
      </c>
      <c r="K35" s="65" t="s">
        <v>133</v>
      </c>
      <c r="L35" s="65" t="s">
        <v>245</v>
      </c>
      <c r="M35" s="65" t="s">
        <v>246</v>
      </c>
      <c r="N35" s="65" t="s">
        <v>241</v>
      </c>
      <c r="O35" s="66" t="s">
        <v>243</v>
      </c>
    </row>
    <row r="36" spans="2:15" x14ac:dyDescent="0.2">
      <c r="B36" s="168">
        <v>1</v>
      </c>
      <c r="C36" s="169" t="s">
        <v>450</v>
      </c>
      <c r="D36" s="176">
        <v>1000</v>
      </c>
      <c r="E36" s="138"/>
      <c r="F36" s="140">
        <f t="shared" ref="F36:F43" si="12">I23</f>
        <v>190.548846277</v>
      </c>
      <c r="G36" s="140"/>
      <c r="H36" s="140"/>
      <c r="I36" s="139">
        <f>F36+G36+H36</f>
        <v>190.548846277</v>
      </c>
      <c r="J36" s="140">
        <f t="shared" ref="J36:J43" si="13">M23</f>
        <v>134.10233481400005</v>
      </c>
      <c r="K36" s="170">
        <v>2.399462684</v>
      </c>
      <c r="L36" s="140"/>
      <c r="M36" s="139">
        <f>J36+K36+L36</f>
        <v>136.50179749800006</v>
      </c>
      <c r="N36" s="140">
        <f>+F36-J36</f>
        <v>56.44651146299995</v>
      </c>
      <c r="O36" s="140">
        <f>+I36-M36</f>
        <v>54.047048778999937</v>
      </c>
    </row>
    <row r="37" spans="2:15" x14ac:dyDescent="0.2">
      <c r="B37" s="168">
        <v>2</v>
      </c>
      <c r="C37" s="169" t="s">
        <v>451</v>
      </c>
      <c r="D37" s="176">
        <v>1300</v>
      </c>
      <c r="E37" s="138"/>
      <c r="F37" s="140">
        <f t="shared" si="12"/>
        <v>2043.2824752069998</v>
      </c>
      <c r="G37" s="140">
        <v>27.08</v>
      </c>
      <c r="H37" s="140"/>
      <c r="I37" s="139">
        <f t="shared" ref="I37:I43" si="14">F37+G37+H37</f>
        <v>2070.362475207</v>
      </c>
      <c r="J37" s="140">
        <f t="shared" si="13"/>
        <v>1686.9334724349997</v>
      </c>
      <c r="K37" s="170">
        <v>14.950710016999999</v>
      </c>
      <c r="L37" s="140"/>
      <c r="M37" s="139">
        <f t="shared" ref="M37:M43" si="15">J37+K37+L37</f>
        <v>1701.8841824519995</v>
      </c>
      <c r="N37" s="140">
        <f t="shared" ref="N37:N43" si="16">+F37-J37</f>
        <v>356.34900277200018</v>
      </c>
      <c r="O37" s="140">
        <f t="shared" ref="O37:O43" si="17">+I37-M37</f>
        <v>368.47829275500044</v>
      </c>
    </row>
    <row r="38" spans="2:15" x14ac:dyDescent="0.2">
      <c r="B38" s="168">
        <v>3</v>
      </c>
      <c r="C38" s="169" t="s">
        <v>452</v>
      </c>
      <c r="D38" s="176">
        <v>1400</v>
      </c>
      <c r="E38" s="141"/>
      <c r="F38" s="140">
        <f t="shared" si="12"/>
        <v>18.373271348999999</v>
      </c>
      <c r="G38" s="140"/>
      <c r="H38" s="140"/>
      <c r="I38" s="139">
        <f t="shared" si="14"/>
        <v>18.373271348999999</v>
      </c>
      <c r="J38" s="140">
        <f t="shared" si="13"/>
        <v>6.0215482910000002</v>
      </c>
      <c r="K38" s="170">
        <v>0.95055080700000005</v>
      </c>
      <c r="L38" s="140"/>
      <c r="M38" s="139">
        <f t="shared" si="15"/>
        <v>6.9720990980000002</v>
      </c>
      <c r="N38" s="140">
        <f t="shared" si="16"/>
        <v>12.351723057999999</v>
      </c>
      <c r="O38" s="140">
        <f t="shared" si="17"/>
        <v>11.401172250999998</v>
      </c>
    </row>
    <row r="39" spans="2:15" x14ac:dyDescent="0.2">
      <c r="B39" s="168">
        <v>4</v>
      </c>
      <c r="C39" s="169" t="s">
        <v>453</v>
      </c>
      <c r="D39" s="176">
        <v>1500</v>
      </c>
      <c r="E39" s="141"/>
      <c r="F39" s="140">
        <f t="shared" si="12"/>
        <v>178.79276744500001</v>
      </c>
      <c r="G39" s="140"/>
      <c r="H39" s="140"/>
      <c r="I39" s="139">
        <f t="shared" si="14"/>
        <v>178.79276744500001</v>
      </c>
      <c r="J39" s="140">
        <f t="shared" si="13"/>
        <v>151.16868119699998</v>
      </c>
      <c r="K39" s="170">
        <v>1.2061530759999999</v>
      </c>
      <c r="L39" s="140"/>
      <c r="M39" s="139">
        <f t="shared" si="15"/>
        <v>152.37483427299998</v>
      </c>
      <c r="N39" s="140">
        <f t="shared" si="16"/>
        <v>27.624086248000026</v>
      </c>
      <c r="O39" s="140">
        <f t="shared" si="17"/>
        <v>26.417933172000033</v>
      </c>
    </row>
    <row r="40" spans="2:15" x14ac:dyDescent="0.2">
      <c r="B40" s="168">
        <v>5</v>
      </c>
      <c r="C40" s="169" t="s">
        <v>454</v>
      </c>
      <c r="D40" s="176">
        <v>1600</v>
      </c>
      <c r="E40" s="141"/>
      <c r="F40" s="140">
        <f t="shared" si="12"/>
        <v>43.788597331999995</v>
      </c>
      <c r="G40" s="140"/>
      <c r="H40" s="140"/>
      <c r="I40" s="139">
        <f t="shared" si="14"/>
        <v>43.788597331999995</v>
      </c>
      <c r="J40" s="140">
        <f t="shared" si="13"/>
        <v>22.662920978000002</v>
      </c>
      <c r="K40" s="170">
        <v>4.3516081920000005</v>
      </c>
      <c r="L40" s="140"/>
      <c r="M40" s="139">
        <f t="shared" si="15"/>
        <v>27.014529170000003</v>
      </c>
      <c r="N40" s="140">
        <f t="shared" si="16"/>
        <v>21.125676353999992</v>
      </c>
      <c r="O40" s="140">
        <f t="shared" si="17"/>
        <v>16.774068161999992</v>
      </c>
    </row>
    <row r="41" spans="2:15" x14ac:dyDescent="0.2">
      <c r="B41" s="168">
        <v>6</v>
      </c>
      <c r="C41" s="169" t="s">
        <v>455</v>
      </c>
      <c r="D41" s="176">
        <v>1800</v>
      </c>
      <c r="E41" s="141"/>
      <c r="F41" s="140">
        <f t="shared" si="12"/>
        <v>0.62053437499999997</v>
      </c>
      <c r="G41" s="140"/>
      <c r="H41" s="140"/>
      <c r="I41" s="139">
        <f t="shared" si="14"/>
        <v>0.62053437499999997</v>
      </c>
      <c r="J41" s="140">
        <f t="shared" si="13"/>
        <v>0.54959781799999996</v>
      </c>
      <c r="K41" s="170"/>
      <c r="L41" s="140"/>
      <c r="M41" s="139">
        <f t="shared" si="15"/>
        <v>0.54959781799999996</v>
      </c>
      <c r="N41" s="140">
        <f t="shared" si="16"/>
        <v>7.0936557000000011E-2</v>
      </c>
      <c r="O41" s="140">
        <f t="shared" si="17"/>
        <v>7.0936557000000011E-2</v>
      </c>
    </row>
    <row r="42" spans="2:15" x14ac:dyDescent="0.2">
      <c r="B42" s="168">
        <v>7</v>
      </c>
      <c r="C42" s="169" t="s">
        <v>390</v>
      </c>
      <c r="D42" s="176">
        <v>1900</v>
      </c>
      <c r="E42" s="141"/>
      <c r="F42" s="140">
        <f t="shared" si="12"/>
        <v>0.69570474299999996</v>
      </c>
      <c r="G42" s="140"/>
      <c r="H42" s="140"/>
      <c r="I42" s="139">
        <f t="shared" si="14"/>
        <v>0.69570474299999996</v>
      </c>
      <c r="J42" s="140">
        <f t="shared" si="13"/>
        <v>0.65161675600000002</v>
      </c>
      <c r="K42" s="170"/>
      <c r="L42" s="140"/>
      <c r="M42" s="139">
        <f t="shared" si="15"/>
        <v>0.65161675600000002</v>
      </c>
      <c r="N42" s="140">
        <f t="shared" si="16"/>
        <v>4.408798699999994E-2</v>
      </c>
      <c r="O42" s="140">
        <f t="shared" si="17"/>
        <v>4.408798699999994E-2</v>
      </c>
    </row>
    <row r="43" spans="2:15" x14ac:dyDescent="0.2">
      <c r="B43" s="168">
        <v>8</v>
      </c>
      <c r="C43" s="169" t="s">
        <v>456</v>
      </c>
      <c r="D43" s="176">
        <v>2100</v>
      </c>
      <c r="E43" s="141"/>
      <c r="F43" s="140">
        <f t="shared" si="12"/>
        <v>0.106789704</v>
      </c>
      <c r="G43" s="140"/>
      <c r="H43" s="140"/>
      <c r="I43" s="139">
        <f t="shared" si="14"/>
        <v>0.106789704</v>
      </c>
      <c r="J43" s="140">
        <f t="shared" si="13"/>
        <v>9.9827711000000013E-2</v>
      </c>
      <c r="K43" s="170"/>
      <c r="L43" s="140"/>
      <c r="M43" s="139">
        <f t="shared" si="15"/>
        <v>9.9827711000000013E-2</v>
      </c>
      <c r="N43" s="140">
        <f t="shared" si="16"/>
        <v>6.9619929999999858E-3</v>
      </c>
      <c r="O43" s="140">
        <f t="shared" si="17"/>
        <v>6.9619929999999858E-3</v>
      </c>
    </row>
    <row r="44" spans="2:15" s="49" customFormat="1" ht="15.75" thickBot="1" x14ac:dyDescent="0.25">
      <c r="B44" s="151"/>
      <c r="C44" s="152" t="s">
        <v>134</v>
      </c>
      <c r="D44" s="152"/>
      <c r="E44" s="149">
        <f>IFERROR((K44-L44)/AVERAGE(F44,I44),0)</f>
        <v>9.5832914951300332E-3</v>
      </c>
      <c r="F44" s="148">
        <f>ROUND(SUM(F36:F43),2)</f>
        <v>2476.21</v>
      </c>
      <c r="G44" s="148">
        <f t="shared" ref="G44:O44" si="18">ROUND(SUM(G36:G43),2)</f>
        <v>27.08</v>
      </c>
      <c r="H44" s="148">
        <f t="shared" si="18"/>
        <v>0</v>
      </c>
      <c r="I44" s="148">
        <f t="shared" si="18"/>
        <v>2503.29</v>
      </c>
      <c r="J44" s="148">
        <f t="shared" si="18"/>
        <v>2002.19</v>
      </c>
      <c r="K44" s="148">
        <f t="shared" si="18"/>
        <v>23.86</v>
      </c>
      <c r="L44" s="148">
        <f t="shared" si="18"/>
        <v>0</v>
      </c>
      <c r="M44" s="148">
        <f t="shared" si="18"/>
        <v>2026.05</v>
      </c>
      <c r="N44" s="148">
        <f t="shared" si="18"/>
        <v>474.02</v>
      </c>
      <c r="O44" s="148">
        <f t="shared" si="18"/>
        <v>477.24</v>
      </c>
    </row>
    <row r="45" spans="2:15" x14ac:dyDescent="0.2">
      <c r="K45" s="154"/>
    </row>
    <row r="46" spans="2:15" x14ac:dyDescent="0.2">
      <c r="K46" s="154"/>
    </row>
    <row r="47" spans="2:15" x14ac:dyDescent="0.2">
      <c r="K47" s="150"/>
    </row>
  </sheetData>
  <mergeCells count="24">
    <mergeCell ref="J8:M8"/>
    <mergeCell ref="N8:O8"/>
    <mergeCell ref="B7:O7"/>
    <mergeCell ref="B8:B9"/>
    <mergeCell ref="C8:C9"/>
    <mergeCell ref="D8:D9"/>
    <mergeCell ref="E8:E9"/>
    <mergeCell ref="F8:I8"/>
    <mergeCell ref="B20:O20"/>
    <mergeCell ref="B21:B22"/>
    <mergeCell ref="C21:C22"/>
    <mergeCell ref="D21:D22"/>
    <mergeCell ref="E21:E22"/>
    <mergeCell ref="F21:I21"/>
    <mergeCell ref="J21:M21"/>
    <mergeCell ref="N21:O21"/>
    <mergeCell ref="B33:O33"/>
    <mergeCell ref="B34:B35"/>
    <mergeCell ref="C34:C35"/>
    <mergeCell ref="D34:D35"/>
    <mergeCell ref="E34:E35"/>
    <mergeCell ref="F34:I34"/>
    <mergeCell ref="J34:M34"/>
    <mergeCell ref="N34:O34"/>
  </mergeCells>
  <pageMargins left="0.27" right="0.25" top="0.25" bottom="0.25" header="0.25" footer="0.25"/>
  <pageSetup paperSize="9" scale="81" fitToHeight="0" orientation="landscape" r:id="rId1"/>
  <headerFooter alignWithMargins="0"/>
  <rowBreaks count="1" manualBreakCount="1">
    <brk id="1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3"/>
  <sheetViews>
    <sheetView zoomScale="85" zoomScaleNormal="85" zoomScaleSheetLayoutView="90" workbookViewId="0">
      <selection activeCell="C34" sqref="C34"/>
    </sheetView>
  </sheetViews>
  <sheetFormatPr defaultColWidth="9.28515625" defaultRowHeight="14.25" x14ac:dyDescent="0.2"/>
  <cols>
    <col min="1" max="1" width="2.7109375" style="5" customWidth="1"/>
    <col min="2" max="2" width="6.28515625" style="5" customWidth="1"/>
    <col min="3" max="3" width="56.7109375" style="5" customWidth="1"/>
    <col min="4" max="4" width="13.7109375" style="5" bestFit="1" customWidth="1"/>
    <col min="5" max="5" width="12.5703125" style="5" bestFit="1" customWidth="1"/>
    <col min="6" max="6" width="13.42578125" style="5" bestFit="1" customWidth="1"/>
    <col min="7" max="7" width="13.7109375" style="5" bestFit="1" customWidth="1"/>
    <col min="8" max="9" width="12.5703125" style="5" customWidth="1"/>
    <col min="10" max="13" width="11.7109375" style="5" bestFit="1" customWidth="1"/>
    <col min="14" max="16384" width="9.28515625" style="5"/>
  </cols>
  <sheetData>
    <row r="1" spans="2:10" ht="15" x14ac:dyDescent="0.2">
      <c r="B1" s="24"/>
    </row>
    <row r="2" spans="2:10" ht="15" x14ac:dyDescent="0.2">
      <c r="E2" s="32" t="s">
        <v>383</v>
      </c>
    </row>
    <row r="3" spans="2:10" ht="15" x14ac:dyDescent="0.2">
      <c r="E3" s="32" t="s">
        <v>448</v>
      </c>
    </row>
    <row r="4" spans="2:10" ht="15" x14ac:dyDescent="0.2">
      <c r="E4" s="35" t="s">
        <v>255</v>
      </c>
    </row>
    <row r="5" spans="2:10" ht="15" x14ac:dyDescent="0.2">
      <c r="B5" s="33" t="s">
        <v>52</v>
      </c>
      <c r="C5" s="24" t="s">
        <v>256</v>
      </c>
      <c r="J5" s="26" t="s">
        <v>4</v>
      </c>
    </row>
    <row r="6" spans="2:10" s="13" customFormat="1" ht="15" customHeight="1" x14ac:dyDescent="0.2">
      <c r="B6" s="301" t="s">
        <v>186</v>
      </c>
      <c r="C6" s="304" t="s">
        <v>14</v>
      </c>
      <c r="D6" s="308" t="s">
        <v>384</v>
      </c>
      <c r="E6" s="309"/>
      <c r="F6" s="310"/>
      <c r="G6" s="306" t="s">
        <v>385</v>
      </c>
      <c r="H6" s="306"/>
      <c r="I6" s="332" t="s">
        <v>445</v>
      </c>
      <c r="J6" s="333"/>
    </row>
    <row r="7" spans="2:10" s="13" customFormat="1" ht="45" x14ac:dyDescent="0.2">
      <c r="B7" s="302"/>
      <c r="C7" s="304"/>
      <c r="D7" s="15" t="s">
        <v>350</v>
      </c>
      <c r="E7" s="15" t="s">
        <v>230</v>
      </c>
      <c r="F7" s="15" t="s">
        <v>199</v>
      </c>
      <c r="G7" s="15" t="s">
        <v>350</v>
      </c>
      <c r="H7" s="15" t="s">
        <v>229</v>
      </c>
      <c r="I7" s="15" t="s">
        <v>350</v>
      </c>
      <c r="J7" s="15" t="s">
        <v>229</v>
      </c>
    </row>
    <row r="8" spans="2:10" s="13" customFormat="1" ht="30" x14ac:dyDescent="0.2">
      <c r="B8" s="303"/>
      <c r="C8" s="305"/>
      <c r="D8" s="15" t="s">
        <v>10</v>
      </c>
      <c r="E8" s="15" t="s">
        <v>12</v>
      </c>
      <c r="F8" s="15" t="s">
        <v>221</v>
      </c>
      <c r="G8" s="15" t="s">
        <v>10</v>
      </c>
      <c r="H8" s="15" t="s">
        <v>441</v>
      </c>
      <c r="I8" s="15" t="s">
        <v>10</v>
      </c>
      <c r="J8" s="15" t="s">
        <v>441</v>
      </c>
    </row>
    <row r="9" spans="2:10" x14ac:dyDescent="0.2">
      <c r="B9" s="62">
        <v>1</v>
      </c>
      <c r="C9" s="27" t="s">
        <v>170</v>
      </c>
      <c r="D9" s="2"/>
      <c r="E9" s="108">
        <f>'F4'!F18*70%</f>
        <v>1731.261</v>
      </c>
      <c r="F9" s="108">
        <f>E9</f>
        <v>1731.261</v>
      </c>
      <c r="G9" s="21"/>
      <c r="H9" s="102">
        <f>E9+E13</f>
        <v>1733.3609999999999</v>
      </c>
      <c r="I9" s="21"/>
      <c r="J9" s="102">
        <f>H9+H13</f>
        <v>1733.4959999999999</v>
      </c>
    </row>
    <row r="10" spans="2:10" x14ac:dyDescent="0.2">
      <c r="B10" s="20">
        <f>B9+1</f>
        <v>2</v>
      </c>
      <c r="C10" s="27" t="s">
        <v>171</v>
      </c>
      <c r="D10" s="2"/>
      <c r="E10" s="108">
        <f>'F4'!J18</f>
        <v>1957.05</v>
      </c>
      <c r="F10" s="108">
        <f>E10</f>
        <v>1957.05</v>
      </c>
      <c r="G10" s="102"/>
      <c r="H10" s="102">
        <f>'F4'!J18</f>
        <v>1957.05</v>
      </c>
      <c r="I10" s="21"/>
      <c r="J10" s="102">
        <f>'F4'!J31</f>
        <v>1979.56</v>
      </c>
    </row>
    <row r="11" spans="2:10" ht="15" x14ac:dyDescent="0.2">
      <c r="B11" s="20">
        <f t="shared" ref="B11:B21" si="0">B10+1</f>
        <v>3</v>
      </c>
      <c r="C11" s="29" t="s">
        <v>172</v>
      </c>
      <c r="D11" s="105">
        <f>D9-D10</f>
        <v>0</v>
      </c>
      <c r="E11" s="105">
        <f>IF((E9-E10)&lt;0,0,(E9-E10))</f>
        <v>0</v>
      </c>
      <c r="F11" s="105">
        <f>IF((F9-F10)&lt;0,0,(F9-F10))</f>
        <v>0</v>
      </c>
      <c r="G11" s="105">
        <f>IF((G9-G10)&lt;0,0,(G9-G10))</f>
        <v>0</v>
      </c>
      <c r="H11" s="105">
        <f>IF((H9-H10)&lt;0,0,(H9-H10))</f>
        <v>0</v>
      </c>
      <c r="I11" s="105"/>
      <c r="J11" s="105">
        <f>IF((J9-J10)&lt;0,0,(J9-J10))</f>
        <v>0</v>
      </c>
    </row>
    <row r="12" spans="2:10" ht="28.5" x14ac:dyDescent="0.2">
      <c r="B12" s="20">
        <f t="shared" si="0"/>
        <v>4</v>
      </c>
      <c r="C12" s="68" t="s">
        <v>173</v>
      </c>
      <c r="D12" s="107"/>
      <c r="E12" s="107"/>
      <c r="F12" s="107"/>
      <c r="G12" s="107"/>
      <c r="H12" s="107"/>
      <c r="I12" s="107"/>
      <c r="J12" s="107"/>
    </row>
    <row r="13" spans="2:10" s="32" customFormat="1" ht="28.5" x14ac:dyDescent="0.2">
      <c r="B13" s="20">
        <f t="shared" si="0"/>
        <v>5</v>
      </c>
      <c r="C13" s="37" t="s">
        <v>380</v>
      </c>
      <c r="D13" s="107"/>
      <c r="E13" s="113">
        <f>'F3'!E12*75%</f>
        <v>2.0999999999999996</v>
      </c>
      <c r="F13" s="113">
        <f>'F3'!F12*75%</f>
        <v>0</v>
      </c>
      <c r="G13" s="113">
        <f>'F3'!G12*75%</f>
        <v>0</v>
      </c>
      <c r="H13" s="113">
        <f>'F3'!H12*75%</f>
        <v>0.13500000000000001</v>
      </c>
      <c r="I13" s="113">
        <f>'F3'!I12*75%</f>
        <v>0</v>
      </c>
      <c r="J13" s="113">
        <f>'F3'!J12*75%</f>
        <v>20.309999999999999</v>
      </c>
    </row>
    <row r="14" spans="2:10" x14ac:dyDescent="0.2">
      <c r="B14" s="20">
        <f t="shared" si="0"/>
        <v>6</v>
      </c>
      <c r="C14" s="68" t="s">
        <v>178</v>
      </c>
      <c r="D14" s="121"/>
      <c r="E14" s="121">
        <f>'F1'!G11</f>
        <v>22.51</v>
      </c>
      <c r="F14" s="121">
        <f>'F1'!H11</f>
        <v>22.51</v>
      </c>
      <c r="G14" s="121">
        <f>'F1'!I11</f>
        <v>45.25</v>
      </c>
      <c r="H14" s="121">
        <f>'F1'!J11</f>
        <v>22.63</v>
      </c>
      <c r="I14" s="121">
        <f>'F1'!K11</f>
        <v>45.25</v>
      </c>
      <c r="J14" s="121">
        <f>'F1'!L11</f>
        <v>23.86</v>
      </c>
    </row>
    <row r="15" spans="2:10" ht="15" x14ac:dyDescent="0.2">
      <c r="B15" s="20">
        <f t="shared" si="0"/>
        <v>7</v>
      </c>
      <c r="C15" s="27" t="s">
        <v>174</v>
      </c>
      <c r="D15" s="105"/>
      <c r="E15" s="105">
        <f>IF((E11-E12+E13-E14)&lt;0,0,(E11-E12+E13-E14))</f>
        <v>0</v>
      </c>
      <c r="F15" s="105">
        <f>IF((F11-F12+F13-F14)&lt;0,0,(F11-F12+F13-F14))</f>
        <v>0</v>
      </c>
      <c r="G15" s="105"/>
      <c r="H15" s="105">
        <f>IF((H11-H12+H13-H14)&lt;0,0,(H11-H12+H13-H14))</f>
        <v>0</v>
      </c>
      <c r="I15" s="105"/>
      <c r="J15" s="105">
        <f>IF((J11-J12+J13-J14)&lt;0,0,(J11-J12+J13-J14))</f>
        <v>0</v>
      </c>
    </row>
    <row r="16" spans="2:10" ht="15" x14ac:dyDescent="0.2">
      <c r="B16" s="20">
        <f t="shared" si="0"/>
        <v>8</v>
      </c>
      <c r="C16" s="27" t="s">
        <v>175</v>
      </c>
      <c r="D16" s="105"/>
      <c r="E16" s="105">
        <f t="shared" ref="E16:J16" si="1">E9-E12+E13-E14</f>
        <v>1710.8509999999999</v>
      </c>
      <c r="F16" s="105">
        <f t="shared" si="1"/>
        <v>1708.751</v>
      </c>
      <c r="G16" s="105"/>
      <c r="H16" s="105">
        <f t="shared" si="1"/>
        <v>1710.8659999999998</v>
      </c>
      <c r="I16" s="105"/>
      <c r="J16" s="105">
        <f t="shared" si="1"/>
        <v>1729.9459999999999</v>
      </c>
    </row>
    <row r="17" spans="2:10" ht="15" x14ac:dyDescent="0.2">
      <c r="B17" s="20">
        <f t="shared" si="0"/>
        <v>9</v>
      </c>
      <c r="C17" s="27" t="s">
        <v>205</v>
      </c>
      <c r="D17" s="105"/>
      <c r="E17" s="105">
        <f t="shared" ref="E17:J17" si="2">AVERAGE(E11,E15)</f>
        <v>0</v>
      </c>
      <c r="F17" s="105">
        <f t="shared" si="2"/>
        <v>0</v>
      </c>
      <c r="G17" s="105"/>
      <c r="H17" s="105">
        <f t="shared" si="2"/>
        <v>0</v>
      </c>
      <c r="I17" s="105"/>
      <c r="J17" s="105">
        <f t="shared" si="2"/>
        <v>0</v>
      </c>
    </row>
    <row r="18" spans="2:10" x14ac:dyDescent="0.2">
      <c r="B18" s="20">
        <f t="shared" si="0"/>
        <v>10</v>
      </c>
      <c r="C18" s="68" t="s">
        <v>204</v>
      </c>
      <c r="D18" s="106"/>
      <c r="E18" s="106">
        <v>0.1033</v>
      </c>
      <c r="F18" s="106">
        <f>E18</f>
        <v>0.1033</v>
      </c>
      <c r="G18" s="106"/>
      <c r="H18" s="106">
        <f>F18</f>
        <v>0.1033</v>
      </c>
      <c r="I18" s="106"/>
      <c r="J18" s="106">
        <f>H18</f>
        <v>0.1033</v>
      </c>
    </row>
    <row r="19" spans="2:10" ht="15" x14ac:dyDescent="0.2">
      <c r="B19" s="20">
        <f t="shared" si="0"/>
        <v>11</v>
      </c>
      <c r="C19" s="27" t="s">
        <v>257</v>
      </c>
      <c r="D19" s="105">
        <f>D17*D18</f>
        <v>0</v>
      </c>
      <c r="E19" s="105">
        <f>E17*E18</f>
        <v>0</v>
      </c>
      <c r="F19" s="105">
        <f>F17*F18</f>
        <v>0</v>
      </c>
      <c r="G19" s="105">
        <f>G17*G18</f>
        <v>0</v>
      </c>
      <c r="H19" s="105">
        <f>H17*H18</f>
        <v>0</v>
      </c>
      <c r="I19" s="105"/>
      <c r="J19" s="105">
        <f>J17*J18</f>
        <v>0</v>
      </c>
    </row>
    <row r="20" spans="2:10" x14ac:dyDescent="0.2">
      <c r="B20" s="20">
        <f t="shared" si="0"/>
        <v>12</v>
      </c>
      <c r="C20" s="27" t="s">
        <v>258</v>
      </c>
      <c r="D20" s="69"/>
      <c r="E20" s="69"/>
      <c r="F20" s="69"/>
      <c r="G20" s="69"/>
      <c r="H20" s="69"/>
      <c r="I20" s="69"/>
      <c r="J20" s="69"/>
    </row>
    <row r="21" spans="2:10" s="32" customFormat="1" ht="15" x14ac:dyDescent="0.2">
      <c r="B21" s="23">
        <f t="shared" si="0"/>
        <v>13</v>
      </c>
      <c r="C21" s="39" t="s">
        <v>259</v>
      </c>
      <c r="D21" s="105">
        <v>0</v>
      </c>
      <c r="E21" s="105">
        <f>IF((E19+E20)&lt;0,0,(E19+E20))</f>
        <v>0</v>
      </c>
      <c r="F21" s="105">
        <f>IF((F19+F20)&lt;0,0,(F19+F20))</f>
        <v>0</v>
      </c>
      <c r="G21" s="105">
        <v>0</v>
      </c>
      <c r="H21" s="105">
        <f>IF((H19+H20)&lt;0,0,(H19+H20))</f>
        <v>0</v>
      </c>
      <c r="I21" s="105">
        <v>0</v>
      </c>
      <c r="J21" s="105">
        <f>IF((J19+J20)&lt;0,0,(J19+J20))</f>
        <v>0</v>
      </c>
    </row>
    <row r="22" spans="2:10" x14ac:dyDescent="0.2">
      <c r="B22" s="34"/>
      <c r="C22" s="5" t="s">
        <v>232</v>
      </c>
    </row>
    <row r="23" spans="2:10" x14ac:dyDescent="0.2">
      <c r="C23" s="5" t="s">
        <v>381</v>
      </c>
    </row>
  </sheetData>
  <mergeCells count="5">
    <mergeCell ref="I6:J6"/>
    <mergeCell ref="B6:B8"/>
    <mergeCell ref="C6:C8"/>
    <mergeCell ref="D6:F6"/>
    <mergeCell ref="G6:H6"/>
  </mergeCells>
  <pageMargins left="0.27559055118110237" right="0.23622047244094491" top="0.23622047244094491" bottom="0.23622047244094491" header="0.23622047244094491" footer="0.23622047244094491"/>
  <pageSetup paperSize="9" scale="93"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1"/>
  <sheetViews>
    <sheetView showGridLines="0" zoomScale="95" zoomScaleNormal="95" zoomScaleSheetLayoutView="90" workbookViewId="0">
      <selection activeCell="M10" sqref="M10"/>
    </sheetView>
  </sheetViews>
  <sheetFormatPr defaultColWidth="9.28515625" defaultRowHeight="14.25" x14ac:dyDescent="0.2"/>
  <cols>
    <col min="1" max="1" width="2.5703125" style="5" customWidth="1"/>
    <col min="2" max="2" width="6.28515625" style="5" customWidth="1"/>
    <col min="3" max="3" width="34.42578125" style="5" customWidth="1"/>
    <col min="4" max="4" width="12.5703125" style="5" customWidth="1"/>
    <col min="5" max="5" width="10.140625" style="5" customWidth="1"/>
    <col min="6" max="6" width="14.140625" style="5" customWidth="1"/>
    <col min="7" max="7" width="11.42578125" style="5" customWidth="1"/>
    <col min="8" max="8" width="12" style="5" customWidth="1"/>
    <col min="9" max="9" width="11.5703125" style="5" customWidth="1"/>
    <col min="10" max="10" width="10.5703125" style="5" customWidth="1"/>
    <col min="11" max="13" width="11.7109375" style="5" bestFit="1" customWidth="1"/>
    <col min="14" max="16384" width="9.28515625" style="5"/>
  </cols>
  <sheetData>
    <row r="1" spans="2:10" ht="15" x14ac:dyDescent="0.2">
      <c r="B1" s="24"/>
    </row>
    <row r="2" spans="2:10" ht="15" x14ac:dyDescent="0.2">
      <c r="E2" s="32" t="s">
        <v>383</v>
      </c>
    </row>
    <row r="3" spans="2:10" ht="15" x14ac:dyDescent="0.2">
      <c r="E3" s="32" t="s">
        <v>448</v>
      </c>
    </row>
    <row r="4" spans="2:10" ht="15" x14ac:dyDescent="0.2">
      <c r="E4" s="35" t="s">
        <v>260</v>
      </c>
    </row>
    <row r="5" spans="2:10" ht="15" x14ac:dyDescent="0.2">
      <c r="J5" s="26" t="s">
        <v>4</v>
      </c>
    </row>
    <row r="6" spans="2:10" s="13" customFormat="1" ht="15" customHeight="1" x14ac:dyDescent="0.2">
      <c r="B6" s="301" t="s">
        <v>186</v>
      </c>
      <c r="C6" s="304" t="s">
        <v>14</v>
      </c>
      <c r="D6" s="308" t="s">
        <v>384</v>
      </c>
      <c r="E6" s="309"/>
      <c r="F6" s="310"/>
      <c r="G6" s="308" t="s">
        <v>385</v>
      </c>
      <c r="H6" s="310"/>
      <c r="I6" s="308" t="s">
        <v>445</v>
      </c>
      <c r="J6" s="310"/>
    </row>
    <row r="7" spans="2:10" s="13" customFormat="1" ht="30" x14ac:dyDescent="0.2">
      <c r="B7" s="302"/>
      <c r="C7" s="304"/>
      <c r="D7" s="15" t="s">
        <v>350</v>
      </c>
      <c r="E7" s="15" t="s">
        <v>230</v>
      </c>
      <c r="F7" s="15" t="s">
        <v>199</v>
      </c>
      <c r="G7" s="15" t="s">
        <v>350</v>
      </c>
      <c r="H7" s="15" t="s">
        <v>229</v>
      </c>
      <c r="I7" s="15" t="s">
        <v>350</v>
      </c>
      <c r="J7" s="15" t="s">
        <v>219</v>
      </c>
    </row>
    <row r="8" spans="2:10" s="13" customFormat="1" ht="30" x14ac:dyDescent="0.2">
      <c r="B8" s="303"/>
      <c r="C8" s="305"/>
      <c r="D8" s="15" t="s">
        <v>10</v>
      </c>
      <c r="E8" s="15" t="s">
        <v>12</v>
      </c>
      <c r="F8" s="15" t="s">
        <v>221</v>
      </c>
      <c r="G8" s="15" t="s">
        <v>10</v>
      </c>
      <c r="H8" s="15" t="s">
        <v>441</v>
      </c>
      <c r="I8" s="15" t="s">
        <v>10</v>
      </c>
      <c r="J8" s="15" t="s">
        <v>441</v>
      </c>
    </row>
    <row r="9" spans="2:10" x14ac:dyDescent="0.2">
      <c r="B9" s="62">
        <v>1</v>
      </c>
      <c r="C9" s="27" t="s">
        <v>261</v>
      </c>
      <c r="D9" s="2"/>
      <c r="E9" s="108">
        <f>500*24*20*85%*(1-0.0525)*'F12'!F17/10000</f>
        <v>73.631024145570521</v>
      </c>
      <c r="F9" s="113">
        <f>E9</f>
        <v>73.631024145570521</v>
      </c>
      <c r="G9" s="118"/>
      <c r="H9" s="118">
        <f>500*24*20*85%*(1-0.0525)*'F12'!I17/10000</f>
        <v>78.282449999999997</v>
      </c>
      <c r="I9" s="118"/>
      <c r="J9" s="118">
        <f>500*24*20*85%*(1-0.0525)*'F12'!K17/10000</f>
        <v>73.817451000000005</v>
      </c>
    </row>
    <row r="10" spans="2:10" x14ac:dyDescent="0.2">
      <c r="B10" s="20">
        <f>B9+1</f>
        <v>2</v>
      </c>
      <c r="C10" s="27" t="s">
        <v>262</v>
      </c>
      <c r="D10" s="2"/>
      <c r="E10" s="108">
        <f>500*24*30*85%*(1-0.0525)*'F12'!F17/10000</f>
        <v>110.44653621835579</v>
      </c>
      <c r="F10" s="113">
        <f>E10</f>
        <v>110.44653621835579</v>
      </c>
      <c r="G10" s="118"/>
      <c r="H10" s="118">
        <f>500*24*30*85%*(1-0.0525)*'F12'!I17/10000</f>
        <v>117.423675</v>
      </c>
      <c r="I10" s="118"/>
      <c r="J10" s="118">
        <f>500*24*30*85%*(1-0.0525)*'F12'!K17/10000</f>
        <v>110.72617649999999</v>
      </c>
    </row>
    <row r="11" spans="2:10" x14ac:dyDescent="0.2">
      <c r="B11" s="20">
        <f t="shared" ref="B11:B19" si="0">B10+1</f>
        <v>3</v>
      </c>
      <c r="C11" s="29" t="s">
        <v>263</v>
      </c>
      <c r="D11" s="2"/>
      <c r="E11" s="108">
        <f>500*24*85%*(1-0.0525)*'F12'!F18*30/10000</f>
        <v>0.24082782953399118</v>
      </c>
      <c r="F11" s="113">
        <f>E11</f>
        <v>0.24082782953399118</v>
      </c>
      <c r="G11" s="118"/>
      <c r="H11" s="118">
        <f>500*24*85%*(1-0.0525)*'F12'!I18*30/10000</f>
        <v>0.95678550000000018</v>
      </c>
      <c r="I11" s="118"/>
      <c r="J11" s="118">
        <f>500*24*85%*(1-0.0525)*'F12'!K18*30/10000</f>
        <v>0.98577900000000007</v>
      </c>
    </row>
    <row r="12" spans="2:10" x14ac:dyDescent="0.2">
      <c r="B12" s="20">
        <f t="shared" si="0"/>
        <v>4</v>
      </c>
      <c r="C12" s="68" t="s">
        <v>264</v>
      </c>
      <c r="D12" s="107"/>
      <c r="E12" s="107">
        <f>'F2'!F13/12</f>
        <v>23.804166666666664</v>
      </c>
      <c r="F12" s="130">
        <f>'F2'!G13/12</f>
        <v>23.804166666666664</v>
      </c>
      <c r="G12" s="130"/>
      <c r="H12" s="130">
        <f>'F2'!I13/12</f>
        <v>24.998333333333335</v>
      </c>
      <c r="I12" s="130"/>
      <c r="J12" s="130">
        <f>'F2'!K13/12</f>
        <v>26.080833333333334</v>
      </c>
    </row>
    <row r="13" spans="2:10" s="32" customFormat="1" ht="15" x14ac:dyDescent="0.2">
      <c r="B13" s="20">
        <f t="shared" si="0"/>
        <v>5</v>
      </c>
      <c r="C13" s="37" t="s">
        <v>265</v>
      </c>
      <c r="D13" s="69"/>
      <c r="E13" s="113">
        <f>'F4'!F18*1%</f>
        <v>24.732300000000002</v>
      </c>
      <c r="F13" s="113">
        <f>E13</f>
        <v>24.732300000000002</v>
      </c>
      <c r="G13" s="113"/>
      <c r="H13" s="113">
        <f>'F4'!F31*1%</f>
        <v>24.760300000000001</v>
      </c>
      <c r="I13" s="113"/>
      <c r="J13" s="113">
        <f>'F4'!F31*1%</f>
        <v>24.760300000000001</v>
      </c>
    </row>
    <row r="14" spans="2:10" x14ac:dyDescent="0.2">
      <c r="B14" s="20">
        <f t="shared" si="0"/>
        <v>6</v>
      </c>
      <c r="C14" s="68" t="s">
        <v>377</v>
      </c>
      <c r="D14" s="107"/>
      <c r="E14" s="107">
        <f ca="1">(E10*45/30+E11*45/30+'F1'!G16*45/365)</f>
        <v>226.42474470197166</v>
      </c>
      <c r="F14" s="107">
        <f ca="1">E14</f>
        <v>226.42474470197166</v>
      </c>
      <c r="G14" s="130"/>
      <c r="H14" s="130">
        <f ca="1">(H10*45/30+H11*45/30+'F1'!J16*45/365)</f>
        <v>239.84082773630138</v>
      </c>
      <c r="I14" s="130"/>
      <c r="J14" s="130">
        <f ca="1">(J10*45/30+J11*45/30+'F1'!L16*45/365)</f>
        <v>231.48396064726026</v>
      </c>
    </row>
    <row r="15" spans="2:10" x14ac:dyDescent="0.2">
      <c r="B15" s="20"/>
      <c r="C15" s="68" t="s">
        <v>266</v>
      </c>
      <c r="D15" s="69"/>
      <c r="E15" s="29"/>
      <c r="F15" s="3"/>
      <c r="G15" s="29"/>
      <c r="H15" s="29"/>
      <c r="I15" s="29"/>
      <c r="J15" s="29"/>
    </row>
    <row r="16" spans="2:10" x14ac:dyDescent="0.2">
      <c r="B16" s="20">
        <f>B14+1</f>
        <v>7</v>
      </c>
      <c r="C16" s="27" t="s">
        <v>378</v>
      </c>
      <c r="D16" s="107"/>
      <c r="E16" s="107">
        <f>E10+E11</f>
        <v>110.68736404788979</v>
      </c>
      <c r="F16" s="107">
        <f>E16</f>
        <v>110.68736404788979</v>
      </c>
      <c r="G16" s="107"/>
      <c r="H16" s="107">
        <f>H10+H11</f>
        <v>118.3804605</v>
      </c>
      <c r="I16" s="107"/>
      <c r="J16" s="107">
        <f>J10+J11</f>
        <v>111.71195549999999</v>
      </c>
    </row>
    <row r="17" spans="2:10" ht="15" x14ac:dyDescent="0.2">
      <c r="B17" s="20">
        <f t="shared" si="0"/>
        <v>8</v>
      </c>
      <c r="C17" s="27" t="s">
        <v>50</v>
      </c>
      <c r="D17" s="105">
        <f>SUM(D9:D14)-D16</f>
        <v>0</v>
      </c>
      <c r="E17" s="105">
        <f t="shared" ref="E17:J17" ca="1" si="1">SUM(E9:E14)-E16</f>
        <v>348.59223551420882</v>
      </c>
      <c r="F17" s="105">
        <f t="shared" ca="1" si="1"/>
        <v>348.59223551420882</v>
      </c>
      <c r="G17" s="105">
        <f t="shared" si="1"/>
        <v>0</v>
      </c>
      <c r="H17" s="105">
        <f t="shared" ca="1" si="1"/>
        <v>367.88191106963473</v>
      </c>
      <c r="I17" s="105">
        <f t="shared" si="1"/>
        <v>0</v>
      </c>
      <c r="J17" s="105">
        <f t="shared" ca="1" si="1"/>
        <v>356.14254498059364</v>
      </c>
    </row>
    <row r="18" spans="2:10" x14ac:dyDescent="0.2">
      <c r="B18" s="20">
        <f t="shared" si="0"/>
        <v>9</v>
      </c>
      <c r="C18" s="27" t="s">
        <v>267</v>
      </c>
      <c r="D18" s="106"/>
      <c r="E18" s="106">
        <v>0.1041</v>
      </c>
      <c r="F18" s="106">
        <f>E18</f>
        <v>0.1041</v>
      </c>
      <c r="G18" s="106">
        <v>0.1008</v>
      </c>
      <c r="H18" s="106">
        <v>0.10249999999999999</v>
      </c>
      <c r="I18" s="106"/>
      <c r="J18" s="106">
        <v>0.10249999999999999</v>
      </c>
    </row>
    <row r="19" spans="2:10" s="32" customFormat="1" ht="15" x14ac:dyDescent="0.2">
      <c r="B19" s="23">
        <f t="shared" si="0"/>
        <v>10</v>
      </c>
      <c r="C19" s="70" t="s">
        <v>268</v>
      </c>
      <c r="D19" s="105">
        <v>32.96</v>
      </c>
      <c r="E19" s="105">
        <f ca="1">ROUND(E17*E18,2)</f>
        <v>36.29</v>
      </c>
      <c r="F19" s="105">
        <f ca="1">ROUND(F17*F18,2)</f>
        <v>36.29</v>
      </c>
      <c r="G19" s="105">
        <v>33.700000000000003</v>
      </c>
      <c r="H19" s="105">
        <f ca="1">ROUND(H17*H18,2)</f>
        <v>37.71</v>
      </c>
      <c r="I19" s="105">
        <v>33.96</v>
      </c>
      <c r="J19" s="105">
        <f ca="1">ROUND(J17*J18,2)</f>
        <v>36.5</v>
      </c>
    </row>
    <row r="20" spans="2:10" x14ac:dyDescent="0.2">
      <c r="C20" s="5" t="s">
        <v>232</v>
      </c>
    </row>
    <row r="21" spans="2:10" x14ac:dyDescent="0.2">
      <c r="C21" s="5" t="s">
        <v>379</v>
      </c>
    </row>
  </sheetData>
  <mergeCells count="5">
    <mergeCell ref="G6:H6"/>
    <mergeCell ref="I6:J6"/>
    <mergeCell ref="B6:B8"/>
    <mergeCell ref="C6:C8"/>
    <mergeCell ref="D6:F6"/>
  </mergeCells>
  <pageMargins left="0.27" right="0.25" top="1" bottom="1" header="0.25" footer="0.25"/>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3"/>
  <sheetViews>
    <sheetView showGridLines="0" zoomScale="85" zoomScaleNormal="85" zoomScaleSheetLayoutView="90" zoomScalePageLayoutView="84" workbookViewId="0">
      <selection activeCell="J23" sqref="J23"/>
    </sheetView>
  </sheetViews>
  <sheetFormatPr defaultColWidth="9.28515625" defaultRowHeight="14.25" x14ac:dyDescent="0.2"/>
  <cols>
    <col min="1" max="1" width="3.28515625" style="5" customWidth="1"/>
    <col min="2" max="2" width="6.28515625" style="5" customWidth="1"/>
    <col min="3" max="3" width="51.5703125" style="5" customWidth="1"/>
    <col min="4" max="4" width="11.42578125" style="5" customWidth="1"/>
    <col min="5" max="5" width="10.42578125" style="5" customWidth="1"/>
    <col min="6" max="6" width="13" style="5" customWidth="1"/>
    <col min="7" max="7" width="11.42578125" style="5" customWidth="1"/>
    <col min="8" max="8" width="11.140625" style="5" customWidth="1"/>
    <col min="9" max="9" width="10.42578125" style="5" customWidth="1"/>
    <col min="10" max="10" width="10.140625" style="5" customWidth="1"/>
    <col min="11" max="13" width="11.7109375" style="5" bestFit="1" customWidth="1"/>
    <col min="14" max="16384" width="9.28515625" style="5"/>
  </cols>
  <sheetData>
    <row r="1" spans="2:10" ht="15" x14ac:dyDescent="0.2">
      <c r="B1" s="24"/>
    </row>
    <row r="2" spans="2:10" ht="15" x14ac:dyDescent="0.2">
      <c r="D2" s="32" t="s">
        <v>383</v>
      </c>
    </row>
    <row r="3" spans="2:10" ht="15" x14ac:dyDescent="0.2">
      <c r="D3" s="32" t="s">
        <v>448</v>
      </c>
    </row>
    <row r="4" spans="2:10" ht="15" x14ac:dyDescent="0.2">
      <c r="D4" s="35" t="s">
        <v>269</v>
      </c>
    </row>
    <row r="5" spans="2:10" ht="15" x14ac:dyDescent="0.2">
      <c r="J5" s="26" t="s">
        <v>4</v>
      </c>
    </row>
    <row r="6" spans="2:10" s="13" customFormat="1" ht="15" customHeight="1" x14ac:dyDescent="0.2">
      <c r="B6" s="301" t="s">
        <v>186</v>
      </c>
      <c r="C6" s="304" t="s">
        <v>14</v>
      </c>
      <c r="D6" s="308" t="s">
        <v>384</v>
      </c>
      <c r="E6" s="309"/>
      <c r="F6" s="310"/>
      <c r="G6" s="308" t="s">
        <v>385</v>
      </c>
      <c r="H6" s="310"/>
      <c r="I6" s="308" t="s">
        <v>445</v>
      </c>
      <c r="J6" s="310"/>
    </row>
    <row r="7" spans="2:10" s="13" customFormat="1" ht="45" x14ac:dyDescent="0.2">
      <c r="B7" s="302"/>
      <c r="C7" s="304"/>
      <c r="D7" s="15" t="s">
        <v>350</v>
      </c>
      <c r="E7" s="15" t="s">
        <v>230</v>
      </c>
      <c r="F7" s="15" t="s">
        <v>199</v>
      </c>
      <c r="G7" s="15" t="s">
        <v>350</v>
      </c>
      <c r="H7" s="15" t="s">
        <v>229</v>
      </c>
      <c r="I7" s="15" t="s">
        <v>350</v>
      </c>
      <c r="J7" s="15" t="s">
        <v>229</v>
      </c>
    </row>
    <row r="8" spans="2:10" s="13" customFormat="1" ht="30" x14ac:dyDescent="0.2">
      <c r="B8" s="303"/>
      <c r="C8" s="305"/>
      <c r="D8" s="15" t="s">
        <v>10</v>
      </c>
      <c r="E8" s="15" t="s">
        <v>12</v>
      </c>
      <c r="F8" s="15" t="s">
        <v>221</v>
      </c>
      <c r="G8" s="15" t="s">
        <v>10</v>
      </c>
      <c r="H8" s="15" t="s">
        <v>441</v>
      </c>
      <c r="I8" s="15" t="s">
        <v>10</v>
      </c>
      <c r="J8" s="15" t="s">
        <v>441</v>
      </c>
    </row>
    <row r="9" spans="2:10" x14ac:dyDescent="0.2">
      <c r="B9" s="62">
        <v>1</v>
      </c>
      <c r="C9" s="27" t="s">
        <v>214</v>
      </c>
      <c r="D9" s="115"/>
      <c r="E9" s="40">
        <f>'F4'!F18*30%</f>
        <v>741.96899999999994</v>
      </c>
      <c r="F9" s="40">
        <f>E9</f>
        <v>741.96899999999994</v>
      </c>
      <c r="G9" s="117"/>
      <c r="H9" s="118">
        <f>E13</f>
        <v>742.66899999999998</v>
      </c>
      <c r="I9" s="117"/>
      <c r="J9" s="118">
        <f>H13</f>
        <v>742.71399999999994</v>
      </c>
    </row>
    <row r="10" spans="2:10" x14ac:dyDescent="0.2">
      <c r="B10" s="20">
        <f>B9+1</f>
        <v>2</v>
      </c>
      <c r="C10" s="27" t="s">
        <v>215</v>
      </c>
      <c r="D10" s="115"/>
      <c r="E10" s="113">
        <f>'F3'!E12</f>
        <v>2.8</v>
      </c>
      <c r="F10" s="113">
        <f>E10</f>
        <v>2.8</v>
      </c>
      <c r="G10" s="113">
        <f>'F3'!G12</f>
        <v>0</v>
      </c>
      <c r="H10" s="113">
        <f>'F3'!H12</f>
        <v>0.18</v>
      </c>
      <c r="I10" s="113">
        <f>'F3'!I12</f>
        <v>0</v>
      </c>
      <c r="J10" s="113">
        <f>'F3'!J12</f>
        <v>27.08</v>
      </c>
    </row>
    <row r="11" spans="2:10" x14ac:dyDescent="0.2">
      <c r="B11" s="20">
        <f t="shared" ref="B11:B21" si="0">B10+1</f>
        <v>3</v>
      </c>
      <c r="C11" s="29" t="s">
        <v>15</v>
      </c>
      <c r="D11" s="116">
        <f>D10*25%</f>
        <v>0</v>
      </c>
      <c r="E11" s="116">
        <f>E10*25%</f>
        <v>0.7</v>
      </c>
      <c r="F11" s="116">
        <f t="shared" ref="F11:J11" si="1">F10*25%</f>
        <v>0.7</v>
      </c>
      <c r="G11" s="116">
        <f t="shared" si="1"/>
        <v>0</v>
      </c>
      <c r="H11" s="116">
        <f t="shared" si="1"/>
        <v>4.4999999999999998E-2</v>
      </c>
      <c r="I11" s="116">
        <f t="shared" si="1"/>
        <v>0</v>
      </c>
      <c r="J11" s="116">
        <f t="shared" si="1"/>
        <v>6.77</v>
      </c>
    </row>
    <row r="12" spans="2:10" ht="28.5" x14ac:dyDescent="0.2">
      <c r="B12" s="20">
        <f t="shared" si="0"/>
        <v>4</v>
      </c>
      <c r="C12" s="68" t="s">
        <v>16</v>
      </c>
      <c r="D12" s="119"/>
      <c r="E12" s="40"/>
      <c r="F12" s="115"/>
      <c r="G12" s="40"/>
      <c r="H12" s="40"/>
      <c r="I12" s="40"/>
      <c r="J12" s="40"/>
    </row>
    <row r="13" spans="2:10" s="32" customFormat="1" ht="15" x14ac:dyDescent="0.2">
      <c r="B13" s="20">
        <f t="shared" si="0"/>
        <v>5</v>
      </c>
      <c r="C13" s="37" t="s">
        <v>17</v>
      </c>
      <c r="D13" s="120">
        <f>D9+D11-D12</f>
        <v>0</v>
      </c>
      <c r="E13" s="120">
        <f t="shared" ref="E13:J13" si="2">E9+E11-E12</f>
        <v>742.66899999999998</v>
      </c>
      <c r="F13" s="120">
        <f>F9+F11-F12</f>
        <v>742.66899999999998</v>
      </c>
      <c r="G13" s="120">
        <f t="shared" si="2"/>
        <v>0</v>
      </c>
      <c r="H13" s="120">
        <f t="shared" si="2"/>
        <v>742.71399999999994</v>
      </c>
      <c r="I13" s="120"/>
      <c r="J13" s="120">
        <f t="shared" si="2"/>
        <v>749.48399999999992</v>
      </c>
    </row>
    <row r="14" spans="2:10" s="32" customFormat="1" ht="15" x14ac:dyDescent="0.2">
      <c r="B14" s="20"/>
      <c r="C14" s="70" t="s">
        <v>270</v>
      </c>
      <c r="D14" s="69"/>
      <c r="E14" s="29"/>
      <c r="F14" s="3"/>
      <c r="G14" s="29"/>
      <c r="H14" s="29"/>
      <c r="I14" s="29"/>
      <c r="J14" s="29"/>
    </row>
    <row r="15" spans="2:10" s="32" customFormat="1" ht="15" x14ac:dyDescent="0.2">
      <c r="B15" s="20">
        <f>B13+1</f>
        <v>6</v>
      </c>
      <c r="C15" s="37" t="s">
        <v>271</v>
      </c>
      <c r="D15" s="161">
        <v>0.115</v>
      </c>
      <c r="E15" s="161">
        <v>0.155</v>
      </c>
      <c r="F15" s="161">
        <v>0.155</v>
      </c>
      <c r="G15" s="161">
        <v>0.155</v>
      </c>
      <c r="H15" s="161">
        <v>0.155</v>
      </c>
      <c r="I15" s="161">
        <v>0.155</v>
      </c>
      <c r="J15" s="161">
        <v>0.155</v>
      </c>
    </row>
    <row r="16" spans="2:10" s="32" customFormat="1" ht="15" x14ac:dyDescent="0.2">
      <c r="B16" s="20">
        <f>B15+1</f>
        <v>7</v>
      </c>
      <c r="C16" s="37" t="s">
        <v>272</v>
      </c>
      <c r="D16" s="162">
        <v>0.25168000000000001</v>
      </c>
      <c r="E16" s="162">
        <v>0.25168000000000001</v>
      </c>
      <c r="F16" s="162">
        <v>0.25168000000000001</v>
      </c>
      <c r="G16" s="162">
        <v>0.25168000000000001</v>
      </c>
      <c r="H16" s="162">
        <v>0.25168000000000001</v>
      </c>
      <c r="I16" s="162">
        <v>0.25168000000000001</v>
      </c>
      <c r="J16" s="162">
        <v>0.25168000000000001</v>
      </c>
    </row>
    <row r="17" spans="2:10" s="32" customFormat="1" ht="15" x14ac:dyDescent="0.2">
      <c r="B17" s="20">
        <f>B16+1</f>
        <v>8</v>
      </c>
      <c r="C17" s="30" t="s">
        <v>270</v>
      </c>
      <c r="D17" s="163">
        <f>D15/(1-D16)</f>
        <v>0.15367757109258073</v>
      </c>
      <c r="E17" s="163">
        <f t="shared" ref="E17:J17" si="3">E15/(1-E16)</f>
        <v>0.20713063929869574</v>
      </c>
      <c r="F17" s="163">
        <f t="shared" si="3"/>
        <v>0.20713063929869574</v>
      </c>
      <c r="G17" s="163">
        <f t="shared" si="3"/>
        <v>0.20713063929869574</v>
      </c>
      <c r="H17" s="163">
        <f t="shared" si="3"/>
        <v>0.20713063929869574</v>
      </c>
      <c r="I17" s="163">
        <f t="shared" si="3"/>
        <v>0.20713063929869574</v>
      </c>
      <c r="J17" s="163">
        <f t="shared" si="3"/>
        <v>0.20713063929869574</v>
      </c>
    </row>
    <row r="18" spans="2:10" ht="15" x14ac:dyDescent="0.2">
      <c r="B18" s="20"/>
      <c r="C18" s="70" t="s">
        <v>176</v>
      </c>
      <c r="D18" s="104"/>
      <c r="E18" s="29"/>
      <c r="F18" s="3"/>
      <c r="G18" s="29"/>
      <c r="H18" s="29"/>
      <c r="I18" s="29"/>
      <c r="J18" s="29"/>
    </row>
    <row r="19" spans="2:10" ht="17.25" customHeight="1" x14ac:dyDescent="0.2">
      <c r="B19" s="20">
        <f>B17+1</f>
        <v>9</v>
      </c>
      <c r="C19" s="68" t="s">
        <v>216</v>
      </c>
      <c r="D19" s="105">
        <f>D9*D17</f>
        <v>0</v>
      </c>
      <c r="E19" s="105">
        <f t="shared" ref="E19:J19" si="4">E9*E17</f>
        <v>153.68451330981398</v>
      </c>
      <c r="F19" s="105">
        <f t="shared" si="4"/>
        <v>153.68451330981398</v>
      </c>
      <c r="G19" s="105">
        <f t="shared" si="4"/>
        <v>0</v>
      </c>
      <c r="H19" s="105">
        <f t="shared" si="4"/>
        <v>153.82950475732306</v>
      </c>
      <c r="I19" s="105"/>
      <c r="J19" s="105">
        <f t="shared" si="4"/>
        <v>153.83882563609149</v>
      </c>
    </row>
    <row r="20" spans="2:10" ht="18.75" customHeight="1" x14ac:dyDescent="0.2">
      <c r="B20" s="20">
        <f t="shared" si="0"/>
        <v>10</v>
      </c>
      <c r="C20" s="68" t="s">
        <v>217</v>
      </c>
      <c r="D20" s="105">
        <f>AVERAGE(D9,D13)*D17-D19</f>
        <v>0</v>
      </c>
      <c r="E20" s="105">
        <f t="shared" ref="E20:J20" si="5">AVERAGE(E9,E13)*E17-E19</f>
        <v>7.2495723754542496E-2</v>
      </c>
      <c r="F20" s="105">
        <f t="shared" si="5"/>
        <v>7.2495723754542496E-2</v>
      </c>
      <c r="G20" s="105">
        <f t="shared" si="5"/>
        <v>0</v>
      </c>
      <c r="H20" s="105">
        <f t="shared" si="5"/>
        <v>4.6604393841960245E-3</v>
      </c>
      <c r="I20" s="105"/>
      <c r="J20" s="105">
        <f t="shared" si="5"/>
        <v>0.70113721402609031</v>
      </c>
    </row>
    <row r="21" spans="2:10" ht="15" x14ac:dyDescent="0.2">
      <c r="B21" s="20">
        <f t="shared" si="0"/>
        <v>11</v>
      </c>
      <c r="C21" s="39" t="s">
        <v>177</v>
      </c>
      <c r="D21" s="105">
        <v>114.02</v>
      </c>
      <c r="E21" s="105">
        <f>ROUND((E19+E20),2)</f>
        <v>153.76</v>
      </c>
      <c r="F21" s="105">
        <f>ROUND((F19+F20),2)</f>
        <v>153.76</v>
      </c>
      <c r="G21" s="105">
        <v>153.68</v>
      </c>
      <c r="H21" s="105">
        <f>ROUND((H19+H20),2)</f>
        <v>153.83000000000001</v>
      </c>
      <c r="I21" s="105">
        <v>153.68</v>
      </c>
      <c r="J21" s="105">
        <f>ROUND((J19+J20),2)</f>
        <v>154.54</v>
      </c>
    </row>
    <row r="22" spans="2:10" x14ac:dyDescent="0.2">
      <c r="C22" s="5" t="s">
        <v>232</v>
      </c>
    </row>
    <row r="23" spans="2:10" x14ac:dyDescent="0.2">
      <c r="C23" s="5" t="s">
        <v>381</v>
      </c>
    </row>
  </sheetData>
  <mergeCells count="5">
    <mergeCell ref="I6:J6"/>
    <mergeCell ref="B6:B8"/>
    <mergeCell ref="C6:C8"/>
    <mergeCell ref="D6:F6"/>
    <mergeCell ref="G6:H6"/>
  </mergeCells>
  <pageMargins left="1.02" right="0.25" top="1" bottom="1" header="0.25" footer="0.25"/>
  <pageSetup paperSize="9" scale="8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28"/>
  <sheetViews>
    <sheetView showGridLines="0" view="pageBreakPreview" topLeftCell="A3" zoomScale="79" zoomScaleNormal="112" zoomScaleSheetLayoutView="79" workbookViewId="0">
      <selection activeCell="J28" sqref="J28"/>
    </sheetView>
  </sheetViews>
  <sheetFormatPr defaultColWidth="9.28515625" defaultRowHeight="14.25" x14ac:dyDescent="0.2"/>
  <cols>
    <col min="1" max="1" width="2.7109375" style="5" customWidth="1"/>
    <col min="2" max="2" width="6.28515625" style="5" customWidth="1"/>
    <col min="3" max="3" width="50.42578125" style="267" customWidth="1"/>
    <col min="4" max="5" width="11.28515625" style="5" customWidth="1"/>
    <col min="6" max="6" width="13.7109375" style="5" customWidth="1"/>
    <col min="7" max="10" width="11.28515625" style="5" customWidth="1"/>
    <col min="11" max="13" width="11.7109375" style="5" bestFit="1" customWidth="1"/>
    <col min="14" max="16384" width="9.28515625" style="5"/>
  </cols>
  <sheetData>
    <row r="2" spans="2:10" ht="15" x14ac:dyDescent="0.2">
      <c r="E2" s="32" t="s">
        <v>383</v>
      </c>
    </row>
    <row r="3" spans="2:10" ht="15" x14ac:dyDescent="0.2">
      <c r="E3" s="32" t="s">
        <v>448</v>
      </c>
    </row>
    <row r="4" spans="2:10" ht="15" x14ac:dyDescent="0.2">
      <c r="B4" s="33"/>
      <c r="C4" s="60"/>
      <c r="D4" s="25"/>
      <c r="E4" s="35" t="s">
        <v>273</v>
      </c>
      <c r="F4" s="25"/>
      <c r="G4" s="25"/>
      <c r="H4" s="25"/>
      <c r="I4" s="25"/>
      <c r="J4" s="25"/>
    </row>
    <row r="5" spans="2:10" ht="15" x14ac:dyDescent="0.2">
      <c r="J5" s="26" t="s">
        <v>4</v>
      </c>
    </row>
    <row r="6" spans="2:10" s="13" customFormat="1" ht="15" customHeight="1" x14ac:dyDescent="0.2">
      <c r="B6" s="301" t="s">
        <v>186</v>
      </c>
      <c r="C6" s="306" t="s">
        <v>14</v>
      </c>
      <c r="D6" s="308" t="s">
        <v>384</v>
      </c>
      <c r="E6" s="309"/>
      <c r="F6" s="310"/>
      <c r="G6" s="308" t="s">
        <v>385</v>
      </c>
      <c r="H6" s="310"/>
      <c r="I6" s="308" t="s">
        <v>445</v>
      </c>
      <c r="J6" s="310"/>
    </row>
    <row r="7" spans="2:10" s="13" customFormat="1" ht="30" x14ac:dyDescent="0.2">
      <c r="B7" s="302"/>
      <c r="C7" s="306"/>
      <c r="D7" s="15" t="s">
        <v>350</v>
      </c>
      <c r="E7" s="15" t="s">
        <v>230</v>
      </c>
      <c r="F7" s="15" t="s">
        <v>199</v>
      </c>
      <c r="G7" s="15" t="s">
        <v>350</v>
      </c>
      <c r="H7" s="15" t="s">
        <v>229</v>
      </c>
      <c r="I7" s="15" t="s">
        <v>350</v>
      </c>
      <c r="J7" s="15" t="s">
        <v>219</v>
      </c>
    </row>
    <row r="8" spans="2:10" s="13" customFormat="1" ht="15" x14ac:dyDescent="0.2">
      <c r="B8" s="303"/>
      <c r="C8" s="307"/>
      <c r="D8" s="15" t="s">
        <v>10</v>
      </c>
      <c r="E8" s="15" t="s">
        <v>12</v>
      </c>
      <c r="F8" s="15" t="s">
        <v>221</v>
      </c>
      <c r="G8" s="15" t="s">
        <v>10</v>
      </c>
      <c r="H8" s="15" t="s">
        <v>5</v>
      </c>
      <c r="I8" s="15" t="s">
        <v>10</v>
      </c>
      <c r="J8" s="15" t="s">
        <v>8</v>
      </c>
    </row>
    <row r="9" spans="2:10" s="13" customFormat="1" ht="25.5" x14ac:dyDescent="0.2">
      <c r="B9" s="62">
        <v>1</v>
      </c>
      <c r="C9" s="268" t="s">
        <v>397</v>
      </c>
      <c r="D9" s="142"/>
      <c r="E9" s="143">
        <v>0.12184002239527329</v>
      </c>
      <c r="F9" s="143">
        <v>0.12184002239527329</v>
      </c>
      <c r="G9" s="15"/>
      <c r="H9" s="167">
        <v>0.12671362329108424</v>
      </c>
      <c r="I9" s="15"/>
      <c r="J9" s="172">
        <v>0.13178216822272762</v>
      </c>
    </row>
    <row r="10" spans="2:10" s="13" customFormat="1" ht="15" x14ac:dyDescent="0.2">
      <c r="B10" s="62">
        <f>B9+1</f>
        <v>2</v>
      </c>
      <c r="C10" s="268" t="s">
        <v>396</v>
      </c>
      <c r="D10" s="142"/>
      <c r="E10" s="143">
        <v>1.8325387108612454E-4</v>
      </c>
      <c r="F10" s="143">
        <v>1.8325387108612454E-4</v>
      </c>
      <c r="G10" s="15"/>
      <c r="H10" s="167">
        <v>2.5941209112556786E-4</v>
      </c>
      <c r="I10" s="15"/>
      <c r="J10" s="172">
        <v>2.6978857477059058E-4</v>
      </c>
    </row>
    <row r="11" spans="2:10" s="13" customFormat="1" ht="25.5" x14ac:dyDescent="0.2">
      <c r="B11" s="62">
        <f>B10+1</f>
        <v>3</v>
      </c>
      <c r="C11" s="268" t="s">
        <v>395</v>
      </c>
      <c r="D11" s="142"/>
      <c r="E11" s="143">
        <v>8.1080951366595932E-2</v>
      </c>
      <c r="F11" s="143">
        <v>8.1080951366595932E-2</v>
      </c>
      <c r="G11" s="15"/>
      <c r="H11" s="167">
        <v>8.4324189421259771E-2</v>
      </c>
      <c r="I11" s="15"/>
      <c r="J11" s="172">
        <v>8.7697156998110162E-2</v>
      </c>
    </row>
    <row r="12" spans="2:10" s="13" customFormat="1" ht="15" x14ac:dyDescent="0.2">
      <c r="B12" s="165">
        <f t="shared" ref="B12:B27" si="0">B11+1</f>
        <v>4</v>
      </c>
      <c r="C12" s="268" t="s">
        <v>408</v>
      </c>
      <c r="D12" s="142"/>
      <c r="E12" s="143">
        <v>0.92634209999999995</v>
      </c>
      <c r="F12" s="143">
        <v>0.92634209999999995</v>
      </c>
      <c r="G12" s="15"/>
      <c r="H12" s="167">
        <v>0.96339578399999992</v>
      </c>
      <c r="I12" s="15"/>
      <c r="J12" s="172">
        <v>1.00193161536</v>
      </c>
    </row>
    <row r="13" spans="2:10" s="13" customFormat="1" ht="15" x14ac:dyDescent="0.2">
      <c r="B13" s="165">
        <f t="shared" si="0"/>
        <v>5</v>
      </c>
      <c r="C13" s="268" t="s">
        <v>405</v>
      </c>
      <c r="D13" s="143"/>
      <c r="E13" s="143">
        <v>8.464925742067397E-3</v>
      </c>
      <c r="F13" s="143">
        <v>8.464925742067397E-3</v>
      </c>
      <c r="G13" s="15"/>
      <c r="H13" s="167">
        <v>8.803522771750092E-3</v>
      </c>
      <c r="I13" s="15"/>
      <c r="J13" s="172">
        <v>9.1556636826200955E-3</v>
      </c>
    </row>
    <row r="14" spans="2:10" s="13" customFormat="1" ht="15" x14ac:dyDescent="0.2">
      <c r="B14" s="165">
        <f t="shared" si="0"/>
        <v>6</v>
      </c>
      <c r="C14" s="268" t="s">
        <v>391</v>
      </c>
      <c r="D14" s="143"/>
      <c r="E14" s="143">
        <v>0.1392857933576665</v>
      </c>
      <c r="F14" s="143">
        <v>0.1392857933576665</v>
      </c>
      <c r="G14" s="15"/>
      <c r="H14" s="167">
        <v>0.14485722509197316</v>
      </c>
      <c r="I14" s="15"/>
      <c r="J14" s="172">
        <v>0.15065151409565208</v>
      </c>
    </row>
    <row r="15" spans="2:10" s="13" customFormat="1" ht="25.5" x14ac:dyDescent="0.2">
      <c r="B15" s="165">
        <f t="shared" si="0"/>
        <v>7</v>
      </c>
      <c r="C15" s="268" t="s">
        <v>404</v>
      </c>
      <c r="D15" s="143"/>
      <c r="E15" s="143">
        <v>1.9336367E-2</v>
      </c>
      <c r="F15" s="143">
        <v>1.9336367E-2</v>
      </c>
      <c r="G15" s="15"/>
      <c r="H15" s="167">
        <v>2.0109821680000001E-2</v>
      </c>
      <c r="I15" s="15"/>
      <c r="J15" s="172">
        <v>2.0914214547200001E-2</v>
      </c>
    </row>
    <row r="16" spans="2:10" s="13" customFormat="1" ht="15" x14ac:dyDescent="0.2">
      <c r="B16" s="165">
        <f t="shared" si="0"/>
        <v>8</v>
      </c>
      <c r="C16" s="268" t="s">
        <v>399</v>
      </c>
      <c r="D16" s="143"/>
      <c r="E16" s="143">
        <v>0.15276412973419723</v>
      </c>
      <c r="F16" s="143">
        <v>0.15276412973419723</v>
      </c>
      <c r="G16" s="15"/>
      <c r="H16" s="167">
        <v>0.15887469492356512</v>
      </c>
      <c r="I16" s="15"/>
      <c r="J16" s="172">
        <v>0.16522968272050773</v>
      </c>
    </row>
    <row r="17" spans="2:10" s="13" customFormat="1" ht="15" x14ac:dyDescent="0.2">
      <c r="B17" s="165">
        <f t="shared" si="0"/>
        <v>9</v>
      </c>
      <c r="C17" s="268" t="s">
        <v>392</v>
      </c>
      <c r="D17" s="143"/>
      <c r="E17" s="143">
        <v>6.317618552504638</v>
      </c>
      <c r="F17" s="143">
        <v>6.317618552504638</v>
      </c>
      <c r="G17" s="15"/>
      <c r="H17" s="167">
        <v>6.5703232946048233</v>
      </c>
      <c r="I17" s="15"/>
      <c r="J17" s="172">
        <v>6.8331362263890165</v>
      </c>
    </row>
    <row r="18" spans="2:10" s="13" customFormat="1" ht="15" x14ac:dyDescent="0.2">
      <c r="B18" s="165">
        <f t="shared" si="0"/>
        <v>10</v>
      </c>
      <c r="C18" s="268" t="s">
        <v>449</v>
      </c>
      <c r="D18" s="143"/>
      <c r="E18" s="143">
        <v>0</v>
      </c>
      <c r="F18" s="143">
        <v>0</v>
      </c>
      <c r="G18" s="15"/>
      <c r="H18" s="167">
        <v>0</v>
      </c>
      <c r="I18" s="15"/>
      <c r="J18" s="172">
        <v>0</v>
      </c>
    </row>
    <row r="19" spans="2:10" s="13" customFormat="1" ht="15" x14ac:dyDescent="0.2">
      <c r="B19" s="165">
        <f t="shared" si="0"/>
        <v>11</v>
      </c>
      <c r="C19" s="268" t="s">
        <v>394</v>
      </c>
      <c r="D19" s="143"/>
      <c r="E19" s="143">
        <v>0.34754982599999995</v>
      </c>
      <c r="F19" s="143">
        <v>0.34754982599999995</v>
      </c>
      <c r="G19" s="15"/>
      <c r="H19" s="167">
        <v>0.37071772250000001</v>
      </c>
      <c r="I19" s="15"/>
      <c r="J19" s="172">
        <v>0.3855464314</v>
      </c>
    </row>
    <row r="20" spans="2:10" s="13" customFormat="1" ht="15" x14ac:dyDescent="0.2">
      <c r="B20" s="165">
        <f t="shared" si="0"/>
        <v>12</v>
      </c>
      <c r="C20" s="268" t="s">
        <v>393</v>
      </c>
      <c r="D20" s="143"/>
      <c r="E20" s="143">
        <v>0</v>
      </c>
      <c r="F20" s="143">
        <v>0</v>
      </c>
      <c r="G20" s="15"/>
      <c r="H20" s="167">
        <v>0</v>
      </c>
      <c r="I20" s="15"/>
      <c r="J20" s="172">
        <v>0</v>
      </c>
    </row>
    <row r="21" spans="2:10" x14ac:dyDescent="0.2">
      <c r="B21" s="165">
        <f t="shared" si="0"/>
        <v>13</v>
      </c>
      <c r="C21" s="268" t="s">
        <v>398</v>
      </c>
      <c r="D21" s="143"/>
      <c r="E21" s="143">
        <v>3.8105636147201497E-3</v>
      </c>
      <c r="F21" s="143">
        <v>3.8105636147201497E-3</v>
      </c>
      <c r="G21" s="21"/>
      <c r="H21" s="118">
        <v>3.9629861593089557E-3</v>
      </c>
      <c r="I21" s="21"/>
      <c r="J21" s="172">
        <v>4.1215056056813143E-3</v>
      </c>
    </row>
    <row r="22" spans="2:10" x14ac:dyDescent="0.2">
      <c r="B22" s="165">
        <f t="shared" si="0"/>
        <v>14</v>
      </c>
      <c r="C22" s="268" t="s">
        <v>402</v>
      </c>
      <c r="D22" s="143"/>
      <c r="E22" s="143">
        <v>5.9634889962888148E-2</v>
      </c>
      <c r="F22" s="143">
        <v>5.9634889962888148E-2</v>
      </c>
      <c r="G22" s="21"/>
      <c r="H22" s="118">
        <v>6.2020285561403675E-2</v>
      </c>
      <c r="I22" s="21"/>
      <c r="J22" s="172">
        <v>6.4501096983859821E-2</v>
      </c>
    </row>
    <row r="23" spans="2:10" x14ac:dyDescent="0.2">
      <c r="B23" s="165">
        <f t="shared" si="0"/>
        <v>15</v>
      </c>
      <c r="C23" s="268" t="s">
        <v>406</v>
      </c>
      <c r="D23" s="143"/>
      <c r="E23" s="143">
        <v>8.258956978224466E-2</v>
      </c>
      <c r="F23" s="143">
        <v>8.258956978224466E-2</v>
      </c>
      <c r="G23" s="21"/>
      <c r="H23" s="118">
        <v>8.5893152573534456E-2</v>
      </c>
      <c r="I23" s="21"/>
      <c r="J23" s="172">
        <v>8.9328878676475834E-2</v>
      </c>
    </row>
    <row r="24" spans="2:10" x14ac:dyDescent="0.2">
      <c r="B24" s="165">
        <f t="shared" si="0"/>
        <v>16</v>
      </c>
      <c r="C24" s="268" t="s">
        <v>407</v>
      </c>
      <c r="D24" s="143"/>
      <c r="E24" s="143">
        <v>4.1107892969595664E-3</v>
      </c>
      <c r="F24" s="143">
        <v>4.1107892969595664E-3</v>
      </c>
      <c r="G24" s="21"/>
      <c r="H24" s="118">
        <v>4.2752208688379492E-3</v>
      </c>
      <c r="I24" s="21"/>
      <c r="J24" s="172">
        <v>4.4462297035914675E-3</v>
      </c>
    </row>
    <row r="25" spans="2:10" ht="33" customHeight="1" x14ac:dyDescent="0.2">
      <c r="B25" s="165">
        <f t="shared" si="0"/>
        <v>17</v>
      </c>
      <c r="C25" s="268" t="s">
        <v>403</v>
      </c>
      <c r="D25" s="144">
        <f>SUM(D9:D20)</f>
        <v>0</v>
      </c>
      <c r="E25" s="143">
        <v>7.2989665225017958E-2</v>
      </c>
      <c r="F25" s="143">
        <v>7.2989665225017958E-2</v>
      </c>
      <c r="G25" s="29"/>
      <c r="H25" s="113">
        <v>0.35796295760197555</v>
      </c>
      <c r="I25" s="29"/>
      <c r="J25" s="172">
        <v>0.37228147590605459</v>
      </c>
    </row>
    <row r="26" spans="2:10" s="32" customFormat="1" ht="15" x14ac:dyDescent="0.2">
      <c r="B26" s="165">
        <f t="shared" si="0"/>
        <v>18</v>
      </c>
      <c r="C26" s="268" t="s">
        <v>401</v>
      </c>
      <c r="D26" s="144"/>
      <c r="E26" s="143">
        <v>2.6459765653188923E-4</v>
      </c>
      <c r="F26" s="143">
        <v>2.6459765653188923E-4</v>
      </c>
      <c r="G26" s="29"/>
      <c r="H26" s="113">
        <v>9.7331665402386344E-2</v>
      </c>
      <c r="I26" s="29"/>
      <c r="J26" s="172">
        <v>0.1012249320184818</v>
      </c>
    </row>
    <row r="27" spans="2:10" s="32" customFormat="1" ht="15" x14ac:dyDescent="0.2">
      <c r="B27" s="165">
        <f t="shared" si="0"/>
        <v>19</v>
      </c>
      <c r="C27" s="268" t="s">
        <v>400</v>
      </c>
      <c r="D27" s="144"/>
      <c r="E27" s="143">
        <v>1.0253347999999999E-2</v>
      </c>
      <c r="F27" s="143">
        <v>1.0253347999999999E-2</v>
      </c>
      <c r="G27" s="29"/>
      <c r="H27" s="113">
        <v>1.2363864138270972E-2</v>
      </c>
      <c r="I27" s="29"/>
      <c r="J27" s="172">
        <v>1.285841870380181E-2</v>
      </c>
    </row>
    <row r="28" spans="2:10" ht="15" x14ac:dyDescent="0.2">
      <c r="B28" s="20"/>
      <c r="C28" s="31" t="s">
        <v>134</v>
      </c>
      <c r="D28" s="105">
        <v>8.5299999999999994</v>
      </c>
      <c r="E28" s="105">
        <f>ROUND(SUM(E9:E27),2)</f>
        <v>8.35</v>
      </c>
      <c r="F28" s="105">
        <f>ROUND(SUM(F9:F27),2)</f>
        <v>8.35</v>
      </c>
      <c r="G28" s="105">
        <v>8.8699999999999992</v>
      </c>
      <c r="H28" s="105">
        <f>ROUND(SUM(H9:H27),2)</f>
        <v>9.07</v>
      </c>
      <c r="I28" s="105">
        <v>9.23</v>
      </c>
      <c r="J28" s="105">
        <f>ROUND(SUM(J9:J27),2)</f>
        <v>9.44</v>
      </c>
    </row>
  </sheetData>
  <mergeCells count="5">
    <mergeCell ref="I6:J6"/>
    <mergeCell ref="B6:B8"/>
    <mergeCell ref="C6:C8"/>
    <mergeCell ref="D6:F6"/>
    <mergeCell ref="G6:H6"/>
  </mergeCells>
  <pageMargins left="0.27" right="0.25" top="0.25" bottom="1" header="0.25" footer="0.25"/>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29"/>
  <sheetViews>
    <sheetView showGridLines="0" view="pageBreakPreview" topLeftCell="A8" zoomScaleNormal="93" zoomScaleSheetLayoutView="100" workbookViewId="0">
      <selection activeCell="H15" sqref="H15"/>
    </sheetView>
  </sheetViews>
  <sheetFormatPr defaultColWidth="9.28515625" defaultRowHeight="14.25" x14ac:dyDescent="0.2"/>
  <cols>
    <col min="1" max="1" width="3.28515625" style="5" customWidth="1"/>
    <col min="2" max="2" width="8.28515625" style="5" customWidth="1"/>
    <col min="3" max="3" width="26.7109375" style="5" customWidth="1"/>
    <col min="4" max="4" width="15.7109375" style="5" customWidth="1"/>
    <col min="5" max="5" width="18" style="5" bestFit="1" customWidth="1"/>
    <col min="6" max="6" width="15.7109375" style="5" customWidth="1"/>
    <col min="7" max="16384" width="9.28515625" style="5"/>
  </cols>
  <sheetData>
    <row r="2" spans="2:6" ht="15" x14ac:dyDescent="0.2">
      <c r="B2" s="311" t="s">
        <v>383</v>
      </c>
      <c r="C2" s="311"/>
      <c r="D2" s="311"/>
      <c r="E2" s="311"/>
      <c r="F2" s="311"/>
    </row>
    <row r="3" spans="2:6" ht="15" x14ac:dyDescent="0.2">
      <c r="B3" s="311" t="s">
        <v>448</v>
      </c>
      <c r="C3" s="311"/>
      <c r="D3" s="311"/>
      <c r="E3" s="311"/>
      <c r="F3" s="311"/>
    </row>
    <row r="4" spans="2:6" ht="14.25" customHeight="1" x14ac:dyDescent="0.2">
      <c r="B4" s="311" t="s">
        <v>275</v>
      </c>
      <c r="C4" s="311"/>
      <c r="D4" s="311"/>
      <c r="E4" s="311"/>
      <c r="F4" s="311"/>
    </row>
    <row r="5" spans="2:6" ht="15" customHeight="1" x14ac:dyDescent="0.2">
      <c r="B5" s="313" t="s">
        <v>2</v>
      </c>
      <c r="C5" s="318" t="s">
        <v>14</v>
      </c>
      <c r="D5" s="122" t="s">
        <v>384</v>
      </c>
      <c r="E5" s="23" t="s">
        <v>385</v>
      </c>
      <c r="F5" s="23" t="s">
        <v>445</v>
      </c>
    </row>
    <row r="6" spans="2:6" ht="15" x14ac:dyDescent="0.2">
      <c r="B6" s="313"/>
      <c r="C6" s="318"/>
      <c r="D6" s="15" t="s">
        <v>274</v>
      </c>
      <c r="E6" s="15" t="s">
        <v>229</v>
      </c>
      <c r="F6" s="15" t="s">
        <v>229</v>
      </c>
    </row>
    <row r="7" spans="2:6" ht="24.75" customHeight="1" x14ac:dyDescent="0.2">
      <c r="B7" s="334"/>
      <c r="C7" s="335"/>
      <c r="D7" s="15" t="s">
        <v>3</v>
      </c>
      <c r="E7" s="15" t="s">
        <v>5</v>
      </c>
      <c r="F7" s="15" t="s">
        <v>8</v>
      </c>
    </row>
    <row r="8" spans="2:6" ht="15" x14ac:dyDescent="0.2">
      <c r="B8" s="73">
        <v>1</v>
      </c>
      <c r="C8" s="74" t="s">
        <v>160</v>
      </c>
      <c r="D8" s="71"/>
      <c r="E8" s="71"/>
      <c r="F8" s="27"/>
    </row>
    <row r="9" spans="2:6" s="32" customFormat="1" ht="15" x14ac:dyDescent="0.2">
      <c r="B9" s="75" t="s">
        <v>52</v>
      </c>
      <c r="C9" s="39" t="s">
        <v>53</v>
      </c>
      <c r="D9" s="76"/>
      <c r="E9" s="39"/>
      <c r="F9" s="39"/>
    </row>
    <row r="10" spans="2:6" s="32" customFormat="1" ht="15" x14ac:dyDescent="0.2">
      <c r="B10" s="77"/>
      <c r="C10" s="29" t="s">
        <v>54</v>
      </c>
      <c r="D10" s="76"/>
      <c r="E10" s="39"/>
      <c r="F10" s="39"/>
    </row>
    <row r="11" spans="2:6" s="32" customFormat="1" ht="15" x14ac:dyDescent="0.2">
      <c r="B11" s="77"/>
      <c r="C11" s="29" t="s">
        <v>55</v>
      </c>
      <c r="D11" s="76"/>
      <c r="E11" s="39"/>
      <c r="F11" s="39"/>
    </row>
    <row r="12" spans="2:6" s="32" customFormat="1" ht="15" x14ac:dyDescent="0.2">
      <c r="B12" s="77"/>
      <c r="C12" s="29" t="s">
        <v>56</v>
      </c>
      <c r="D12" s="76" t="s">
        <v>442</v>
      </c>
      <c r="E12" s="39"/>
      <c r="F12" s="39"/>
    </row>
    <row r="13" spans="2:6" s="32" customFormat="1" ht="15" x14ac:dyDescent="0.2">
      <c r="B13" s="77"/>
      <c r="C13" s="78"/>
      <c r="D13" s="76"/>
      <c r="E13" s="39"/>
      <c r="F13" s="39"/>
    </row>
    <row r="14" spans="2:6" s="32" customFormat="1" ht="15" x14ac:dyDescent="0.2">
      <c r="B14" s="75" t="s">
        <v>57</v>
      </c>
      <c r="C14" s="79" t="s">
        <v>58</v>
      </c>
      <c r="D14" s="76"/>
      <c r="E14" s="39"/>
      <c r="F14" s="39"/>
    </row>
    <row r="15" spans="2:6" s="32" customFormat="1" ht="15" x14ac:dyDescent="0.2">
      <c r="B15" s="77"/>
      <c r="C15" s="29" t="s">
        <v>54</v>
      </c>
      <c r="D15" s="76"/>
      <c r="E15" s="39"/>
      <c r="F15" s="39"/>
    </row>
    <row r="16" spans="2:6" x14ac:dyDescent="0.2">
      <c r="B16" s="77"/>
      <c r="C16" s="29" t="s">
        <v>55</v>
      </c>
      <c r="D16" s="76"/>
      <c r="E16" s="27"/>
      <c r="F16" s="27"/>
    </row>
    <row r="17" spans="2:6" x14ac:dyDescent="0.2">
      <c r="B17" s="80"/>
      <c r="C17" s="29" t="s">
        <v>59</v>
      </c>
      <c r="D17" s="76"/>
      <c r="E17" s="27"/>
      <c r="F17" s="27"/>
    </row>
    <row r="18" spans="2:6" ht="15" x14ac:dyDescent="0.2">
      <c r="B18" s="80"/>
      <c r="C18" s="79"/>
      <c r="D18" s="76"/>
      <c r="E18" s="27"/>
      <c r="F18" s="27"/>
    </row>
    <row r="19" spans="2:6" ht="17.25" customHeight="1" x14ac:dyDescent="0.2">
      <c r="B19" s="75">
        <v>2</v>
      </c>
      <c r="C19" s="74" t="s">
        <v>161</v>
      </c>
      <c r="D19" s="76"/>
      <c r="E19" s="27"/>
      <c r="F19" s="27"/>
    </row>
    <row r="20" spans="2:6" ht="17.25" customHeight="1" x14ac:dyDescent="0.2">
      <c r="B20" s="75"/>
      <c r="C20" s="74" t="s">
        <v>60</v>
      </c>
      <c r="D20" s="76"/>
      <c r="E20" s="27"/>
      <c r="F20" s="27"/>
    </row>
    <row r="21" spans="2:6" ht="17.25" customHeight="1" x14ac:dyDescent="0.2">
      <c r="B21" s="75"/>
      <c r="C21" s="74" t="s">
        <v>60</v>
      </c>
      <c r="D21" s="76"/>
      <c r="E21" s="27"/>
      <c r="F21" s="27"/>
    </row>
    <row r="22" spans="2:6" ht="15" x14ac:dyDescent="0.2">
      <c r="B22" s="77"/>
      <c r="C22" s="79" t="s">
        <v>61</v>
      </c>
      <c r="D22" s="76"/>
      <c r="E22" s="27"/>
      <c r="F22" s="27"/>
    </row>
    <row r="23" spans="2:6" ht="15" x14ac:dyDescent="0.2">
      <c r="B23" s="81" t="s">
        <v>49</v>
      </c>
      <c r="C23" s="82"/>
      <c r="D23" s="82"/>
      <c r="E23" s="82"/>
    </row>
    <row r="24" spans="2:6" x14ac:dyDescent="0.2">
      <c r="B24" s="5" t="s">
        <v>201</v>
      </c>
      <c r="D24" s="83"/>
      <c r="E24" s="82"/>
    </row>
    <row r="25" spans="2:6" ht="18" customHeight="1" x14ac:dyDescent="0.2">
      <c r="B25" s="82"/>
      <c r="E25" s="82"/>
    </row>
    <row r="26" spans="2:6" x14ac:dyDescent="0.2">
      <c r="B26" s="82"/>
      <c r="C26" s="82"/>
      <c r="D26" s="82"/>
      <c r="E26" s="82"/>
    </row>
    <row r="27" spans="2:6" x14ac:dyDescent="0.2">
      <c r="B27" s="82"/>
      <c r="C27" s="82"/>
      <c r="D27" s="82"/>
      <c r="E27" s="82"/>
    </row>
    <row r="28" spans="2:6" x14ac:dyDescent="0.2">
      <c r="B28" s="82"/>
      <c r="C28" s="82"/>
      <c r="D28" s="82"/>
      <c r="E28" s="82"/>
    </row>
    <row r="29" spans="2:6" x14ac:dyDescent="0.2">
      <c r="B29" s="82"/>
      <c r="C29" s="82"/>
      <c r="D29" s="82"/>
      <c r="E29" s="82"/>
    </row>
  </sheetData>
  <mergeCells count="5">
    <mergeCell ref="B5:B7"/>
    <mergeCell ref="C5:C7"/>
    <mergeCell ref="B4:F4"/>
    <mergeCell ref="B3:F3"/>
    <mergeCell ref="B2:F2"/>
  </mergeCells>
  <pageMargins left="0.75" right="0.75" top="1" bottom="1" header="0.5" footer="0.5"/>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6"/>
  <sheetViews>
    <sheetView showGridLines="0" view="pageBreakPreview" topLeftCell="A17" zoomScaleNormal="91" zoomScaleSheetLayoutView="100" workbookViewId="0">
      <selection activeCell="G32" sqref="G32"/>
    </sheetView>
  </sheetViews>
  <sheetFormatPr defaultColWidth="9.28515625" defaultRowHeight="14.25" x14ac:dyDescent="0.2"/>
  <cols>
    <col min="1" max="1" width="2.5703125" style="5" customWidth="1"/>
    <col min="2" max="2" width="6.28515625" style="5" customWidth="1"/>
    <col min="3" max="3" width="39.140625" style="267" customWidth="1"/>
    <col min="4" max="4" width="11.5703125" style="34" customWidth="1"/>
    <col min="5" max="5" width="12.42578125" style="34" customWidth="1"/>
    <col min="6" max="6" width="10.42578125" style="5" customWidth="1"/>
    <col min="7" max="7" width="13" style="5" customWidth="1"/>
    <col min="8" max="8" width="11.42578125" style="5" customWidth="1"/>
    <col min="9" max="9" width="11" style="5" customWidth="1"/>
    <col min="10" max="10" width="12.140625" style="5" customWidth="1"/>
    <col min="11" max="11" width="10.42578125" style="5" customWidth="1"/>
    <col min="12" max="12" width="9.85546875" style="5" customWidth="1"/>
    <col min="13" max="16384" width="9.28515625" style="5"/>
  </cols>
  <sheetData>
    <row r="1" spans="2:12" ht="15" x14ac:dyDescent="0.2">
      <c r="B1" s="36"/>
      <c r="D1" s="5"/>
      <c r="E1" s="5"/>
      <c r="F1" s="32" t="s">
        <v>383</v>
      </c>
    </row>
    <row r="2" spans="2:12" ht="15" x14ac:dyDescent="0.2">
      <c r="B2" s="32"/>
      <c r="D2" s="5"/>
      <c r="E2" s="5"/>
      <c r="F2" s="32" t="s">
        <v>448</v>
      </c>
    </row>
    <row r="3" spans="2:12" s="13" customFormat="1" ht="15" x14ac:dyDescent="0.2">
      <c r="B3" s="36"/>
      <c r="C3" s="267"/>
      <c r="D3" s="5"/>
      <c r="E3" s="5"/>
      <c r="F3" s="35" t="s">
        <v>276</v>
      </c>
      <c r="G3" s="5"/>
      <c r="H3" s="5"/>
      <c r="I3" s="5"/>
      <c r="J3" s="5"/>
      <c r="K3" s="5"/>
      <c r="L3" s="5"/>
    </row>
    <row r="4" spans="2:12" ht="15" x14ac:dyDescent="0.2">
      <c r="B4" s="336" t="s">
        <v>186</v>
      </c>
      <c r="C4" s="338" t="s">
        <v>14</v>
      </c>
      <c r="D4" s="338" t="s">
        <v>35</v>
      </c>
      <c r="E4" s="308" t="s">
        <v>384</v>
      </c>
      <c r="F4" s="309"/>
      <c r="G4" s="310"/>
      <c r="H4" s="308" t="s">
        <v>385</v>
      </c>
      <c r="I4" s="309"/>
      <c r="J4" s="308" t="s">
        <v>445</v>
      </c>
      <c r="K4" s="310"/>
      <c r="L4" s="336" t="s">
        <v>11</v>
      </c>
    </row>
    <row r="5" spans="2:12" ht="45" x14ac:dyDescent="0.2">
      <c r="B5" s="338"/>
      <c r="C5" s="338"/>
      <c r="D5" s="338"/>
      <c r="E5" s="207" t="s">
        <v>350</v>
      </c>
      <c r="F5" s="207" t="s">
        <v>230</v>
      </c>
      <c r="G5" s="207" t="s">
        <v>199</v>
      </c>
      <c r="H5" s="207" t="s">
        <v>350</v>
      </c>
      <c r="I5" s="207" t="s">
        <v>222</v>
      </c>
      <c r="J5" s="207" t="s">
        <v>350</v>
      </c>
      <c r="K5" s="207" t="s">
        <v>222</v>
      </c>
      <c r="L5" s="336"/>
    </row>
    <row r="6" spans="2:12" ht="30" x14ac:dyDescent="0.2">
      <c r="B6" s="338"/>
      <c r="C6" s="338"/>
      <c r="D6" s="338"/>
      <c r="E6" s="207" t="s">
        <v>10</v>
      </c>
      <c r="F6" s="207" t="s">
        <v>12</v>
      </c>
      <c r="G6" s="207" t="s">
        <v>221</v>
      </c>
      <c r="H6" s="207" t="s">
        <v>10</v>
      </c>
      <c r="I6" s="207" t="s">
        <v>5</v>
      </c>
      <c r="J6" s="207" t="s">
        <v>10</v>
      </c>
      <c r="K6" s="207" t="s">
        <v>441</v>
      </c>
      <c r="L6" s="337"/>
    </row>
    <row r="7" spans="2:12" ht="15" x14ac:dyDescent="0.2">
      <c r="B7" s="207"/>
      <c r="C7" s="220"/>
      <c r="D7" s="221"/>
      <c r="E7" s="222"/>
      <c r="F7" s="223"/>
      <c r="G7" s="223"/>
      <c r="H7" s="223"/>
      <c r="I7" s="223"/>
      <c r="J7" s="223"/>
      <c r="K7" s="223"/>
      <c r="L7" s="223"/>
    </row>
    <row r="8" spans="2:12" ht="15" x14ac:dyDescent="0.2">
      <c r="B8" s="224">
        <v>1</v>
      </c>
      <c r="C8" s="220" t="s">
        <v>203</v>
      </c>
      <c r="D8" s="224" t="s">
        <v>463</v>
      </c>
      <c r="E8" s="226"/>
      <c r="F8" s="227"/>
      <c r="G8" s="227"/>
      <c r="H8" s="227"/>
      <c r="I8" s="227"/>
      <c r="J8" s="227"/>
      <c r="K8" s="223"/>
      <c r="L8" s="223"/>
    </row>
    <row r="9" spans="2:12" ht="15" x14ac:dyDescent="0.2">
      <c r="B9" s="224"/>
      <c r="C9" s="225" t="s">
        <v>323</v>
      </c>
      <c r="D9" s="224" t="s">
        <v>464</v>
      </c>
      <c r="E9" s="226"/>
      <c r="F9" s="227"/>
      <c r="G9" s="227"/>
      <c r="H9" s="227"/>
      <c r="I9" s="227"/>
      <c r="J9" s="227"/>
      <c r="K9" s="223"/>
      <c r="L9" s="223"/>
    </row>
    <row r="10" spans="2:12" ht="28.5" customHeight="1" x14ac:dyDescent="0.2">
      <c r="B10" s="224"/>
      <c r="C10" s="225" t="s">
        <v>211</v>
      </c>
      <c r="D10" s="224" t="s">
        <v>465</v>
      </c>
      <c r="E10" s="226"/>
      <c r="F10" s="227"/>
      <c r="G10" s="227"/>
      <c r="H10" s="227"/>
      <c r="I10" s="227"/>
      <c r="J10" s="227"/>
      <c r="K10" s="223"/>
      <c r="L10" s="223"/>
    </row>
    <row r="11" spans="2:12" ht="15" x14ac:dyDescent="0.2">
      <c r="B11" s="224"/>
      <c r="C11" s="225"/>
      <c r="D11" s="224"/>
      <c r="E11" s="226"/>
      <c r="F11" s="227"/>
      <c r="G11" s="227"/>
      <c r="H11" s="227"/>
      <c r="I11" s="227"/>
      <c r="J11" s="227"/>
      <c r="K11" s="223"/>
      <c r="L11" s="223"/>
    </row>
    <row r="12" spans="2:12" ht="15" x14ac:dyDescent="0.2">
      <c r="B12" s="207">
        <v>2</v>
      </c>
      <c r="C12" s="220" t="s">
        <v>167</v>
      </c>
      <c r="D12" s="224"/>
      <c r="E12" s="226"/>
      <c r="F12" s="227"/>
      <c r="G12" s="227"/>
      <c r="H12" s="227"/>
      <c r="I12" s="227"/>
      <c r="J12" s="227"/>
      <c r="K12" s="223"/>
      <c r="L12" s="223"/>
    </row>
    <row r="13" spans="2:12" ht="28.5" x14ac:dyDescent="0.2">
      <c r="B13" s="224">
        <f>B12+0.1</f>
        <v>2.1</v>
      </c>
      <c r="C13" s="225" t="s">
        <v>36</v>
      </c>
      <c r="D13" s="224" t="s">
        <v>37</v>
      </c>
      <c r="E13" s="270">
        <v>85</v>
      </c>
      <c r="F13" s="270">
        <v>85</v>
      </c>
      <c r="G13" s="270">
        <v>85</v>
      </c>
      <c r="H13" s="270">
        <v>85</v>
      </c>
      <c r="I13" s="270">
        <v>85</v>
      </c>
      <c r="J13" s="270">
        <v>85</v>
      </c>
      <c r="K13" s="271">
        <v>85</v>
      </c>
      <c r="L13" s="223"/>
    </row>
    <row r="14" spans="2:12" x14ac:dyDescent="0.2">
      <c r="B14" s="224">
        <f>B13+0.1</f>
        <v>2.2000000000000002</v>
      </c>
      <c r="C14" s="225" t="s">
        <v>152</v>
      </c>
      <c r="D14" s="224" t="s">
        <v>37</v>
      </c>
      <c r="E14" s="270"/>
      <c r="F14" s="270">
        <v>94.91</v>
      </c>
      <c r="G14" s="270">
        <v>94.91</v>
      </c>
      <c r="H14" s="270"/>
      <c r="I14" s="270">
        <v>85</v>
      </c>
      <c r="J14" s="270"/>
      <c r="K14" s="271">
        <v>85</v>
      </c>
      <c r="L14" s="223"/>
    </row>
    <row r="15" spans="2:12" x14ac:dyDescent="0.2">
      <c r="B15" s="224"/>
      <c r="C15" s="225"/>
      <c r="D15" s="224"/>
      <c r="E15" s="270"/>
      <c r="F15" s="270"/>
      <c r="G15" s="270"/>
      <c r="H15" s="270"/>
      <c r="I15" s="270"/>
      <c r="J15" s="270"/>
      <c r="K15" s="271"/>
      <c r="L15" s="223"/>
    </row>
    <row r="16" spans="2:12" ht="15" x14ac:dyDescent="0.2">
      <c r="B16" s="207">
        <v>3</v>
      </c>
      <c r="C16" s="220" t="s">
        <v>168</v>
      </c>
      <c r="D16" s="224"/>
      <c r="E16" s="270"/>
      <c r="F16" s="270"/>
      <c r="G16" s="270"/>
      <c r="H16" s="270"/>
      <c r="I16" s="270"/>
      <c r="J16" s="270"/>
      <c r="K16" s="271"/>
      <c r="L16" s="223"/>
    </row>
    <row r="17" spans="2:12" x14ac:dyDescent="0.2">
      <c r="B17" s="224">
        <f>B16+0.1</f>
        <v>3.1</v>
      </c>
      <c r="C17" s="225" t="s">
        <v>38</v>
      </c>
      <c r="D17" s="224" t="s">
        <v>37</v>
      </c>
      <c r="E17" s="270">
        <v>85</v>
      </c>
      <c r="F17" s="270">
        <v>85</v>
      </c>
      <c r="G17" s="270">
        <v>85</v>
      </c>
      <c r="H17" s="270">
        <v>85</v>
      </c>
      <c r="I17" s="270">
        <v>85</v>
      </c>
      <c r="J17" s="270">
        <v>85</v>
      </c>
      <c r="K17" s="271">
        <v>85</v>
      </c>
      <c r="L17" s="223"/>
    </row>
    <row r="18" spans="2:12" x14ac:dyDescent="0.2">
      <c r="B18" s="224">
        <f>B17+0.1</f>
        <v>3.2</v>
      </c>
      <c r="C18" s="225" t="s">
        <v>153</v>
      </c>
      <c r="D18" s="224" t="s">
        <v>37</v>
      </c>
      <c r="E18" s="270"/>
      <c r="F18" s="270">
        <v>69.739999999999995</v>
      </c>
      <c r="G18" s="270">
        <v>69.739999999999995</v>
      </c>
      <c r="H18" s="270"/>
      <c r="I18" s="270">
        <v>85</v>
      </c>
      <c r="J18" s="270"/>
      <c r="K18" s="271">
        <v>85</v>
      </c>
      <c r="L18" s="223"/>
    </row>
    <row r="19" spans="2:12" x14ac:dyDescent="0.2">
      <c r="B19" s="224"/>
      <c r="C19" s="225"/>
      <c r="D19" s="224"/>
      <c r="E19" s="270"/>
      <c r="F19" s="270"/>
      <c r="G19" s="270"/>
      <c r="H19" s="270"/>
      <c r="I19" s="270"/>
      <c r="J19" s="270"/>
      <c r="K19" s="271"/>
      <c r="L19" s="223"/>
    </row>
    <row r="20" spans="2:12" ht="15" x14ac:dyDescent="0.2">
      <c r="B20" s="207">
        <v>4</v>
      </c>
      <c r="C20" s="220" t="s">
        <v>51</v>
      </c>
      <c r="D20" s="224"/>
      <c r="E20" s="270"/>
      <c r="F20" s="272"/>
      <c r="G20" s="270"/>
      <c r="H20" s="270"/>
      <c r="I20" s="270"/>
      <c r="J20" s="270"/>
      <c r="K20" s="271"/>
      <c r="L20" s="223"/>
    </row>
    <row r="21" spans="2:12" ht="15.75" x14ac:dyDescent="0.25">
      <c r="B21" s="224">
        <f>B20+0.1</f>
        <v>4.0999999999999996</v>
      </c>
      <c r="C21" s="225" t="s">
        <v>39</v>
      </c>
      <c r="D21" s="224" t="s">
        <v>40</v>
      </c>
      <c r="E21" s="270"/>
      <c r="F21" s="273">
        <v>2903.234599999997</v>
      </c>
      <c r="G21" s="274">
        <f>F21</f>
        <v>2903.234599999997</v>
      </c>
      <c r="H21" s="270"/>
      <c r="I21" s="275">
        <v>2635.53</v>
      </c>
      <c r="J21" s="270"/>
      <c r="K21" s="276">
        <v>3527.54</v>
      </c>
      <c r="L21" s="223"/>
    </row>
    <row r="22" spans="2:12" x14ac:dyDescent="0.2">
      <c r="B22" s="224">
        <f>B21+0.1</f>
        <v>4.1999999999999993</v>
      </c>
      <c r="C22" s="228" t="s">
        <v>154</v>
      </c>
      <c r="D22" s="224" t="s">
        <v>40</v>
      </c>
      <c r="E22" s="270"/>
      <c r="F22" s="270">
        <v>3054.6800000000003</v>
      </c>
      <c r="G22" s="270">
        <f>F22</f>
        <v>3054.6800000000003</v>
      </c>
      <c r="H22" s="270"/>
      <c r="I22" s="270">
        <v>2789.3599999999997</v>
      </c>
      <c r="J22" s="270"/>
      <c r="K22" s="271">
        <v>3723</v>
      </c>
      <c r="L22" s="223"/>
    </row>
    <row r="23" spans="2:12" x14ac:dyDescent="0.2">
      <c r="B23" s="224"/>
      <c r="C23" s="228"/>
      <c r="D23" s="224"/>
      <c r="E23" s="270"/>
      <c r="F23" s="274"/>
      <c r="G23" s="270"/>
      <c r="H23" s="270"/>
      <c r="I23" s="270"/>
      <c r="J23" s="270"/>
      <c r="K23" s="271"/>
      <c r="L23" s="223"/>
    </row>
    <row r="24" spans="2:12" ht="15" x14ac:dyDescent="0.2">
      <c r="B24" s="207">
        <v>5</v>
      </c>
      <c r="C24" s="229" t="s">
        <v>165</v>
      </c>
      <c r="D24" s="224"/>
      <c r="E24" s="270"/>
      <c r="F24" s="270"/>
      <c r="G24" s="270"/>
      <c r="H24" s="270"/>
      <c r="I24" s="270"/>
      <c r="J24" s="270"/>
      <c r="K24" s="271"/>
      <c r="L24" s="223"/>
    </row>
    <row r="25" spans="2:12" ht="28.5" x14ac:dyDescent="0.2">
      <c r="B25" s="224">
        <f>B24+0.1</f>
        <v>5.0999999999999996</v>
      </c>
      <c r="C25" s="228" t="s">
        <v>41</v>
      </c>
      <c r="D25" s="224" t="s">
        <v>37</v>
      </c>
      <c r="E25" s="270">
        <v>5.25</v>
      </c>
      <c r="F25" s="270">
        <v>5.25</v>
      </c>
      <c r="G25" s="270">
        <v>5.25</v>
      </c>
      <c r="H25" s="270">
        <v>5.25</v>
      </c>
      <c r="I25" s="270">
        <v>5.25</v>
      </c>
      <c r="J25" s="270">
        <v>5.25</v>
      </c>
      <c r="K25" s="271">
        <v>5.25</v>
      </c>
      <c r="L25" s="223"/>
    </row>
    <row r="26" spans="2:12" ht="16.5" customHeight="1" x14ac:dyDescent="0.2">
      <c r="B26" s="224">
        <f>B25+0.1</f>
        <v>5.1999999999999993</v>
      </c>
      <c r="C26" s="228" t="s">
        <v>155</v>
      </c>
      <c r="D26" s="224" t="s">
        <v>37</v>
      </c>
      <c r="E26" s="270"/>
      <c r="F26" s="277">
        <f>F27/F22*100</f>
        <v>4.9578155486009408</v>
      </c>
      <c r="G26" s="277">
        <f>F26</f>
        <v>4.9578155486009408</v>
      </c>
      <c r="H26" s="270"/>
      <c r="I26" s="270">
        <v>5.25</v>
      </c>
      <c r="J26" s="270"/>
      <c r="K26" s="271">
        <v>5.25</v>
      </c>
      <c r="L26" s="223"/>
    </row>
    <row r="27" spans="2:12" ht="16.5" customHeight="1" x14ac:dyDescent="0.2">
      <c r="B27" s="224">
        <f>B26+0.1</f>
        <v>5.2999999999999989</v>
      </c>
      <c r="C27" s="228" t="s">
        <v>155</v>
      </c>
      <c r="D27" s="224" t="s">
        <v>40</v>
      </c>
      <c r="E27" s="270"/>
      <c r="F27" s="274">
        <f>F22-F28</f>
        <v>151.44540000000325</v>
      </c>
      <c r="G27" s="274">
        <f>F27</f>
        <v>151.44540000000325</v>
      </c>
      <c r="H27" s="270"/>
      <c r="I27" s="290">
        <f>I22-I28</f>
        <v>153.82999999999947</v>
      </c>
      <c r="J27" s="270"/>
      <c r="K27" s="271">
        <f>K22-K28</f>
        <v>195.46000000000004</v>
      </c>
      <c r="L27" s="223"/>
    </row>
    <row r="28" spans="2:12" x14ac:dyDescent="0.2">
      <c r="B28" s="224">
        <f>B27+0.1</f>
        <v>5.3999999999999986</v>
      </c>
      <c r="C28" s="228" t="s">
        <v>42</v>
      </c>
      <c r="D28" s="224" t="s">
        <v>40</v>
      </c>
      <c r="E28" s="270"/>
      <c r="F28" s="274">
        <f>F21</f>
        <v>2903.234599999997</v>
      </c>
      <c r="G28" s="274">
        <f>G21</f>
        <v>2903.234599999997</v>
      </c>
      <c r="H28" s="270"/>
      <c r="I28" s="270">
        <v>2635.53</v>
      </c>
      <c r="J28" s="270"/>
      <c r="K28" s="271">
        <f>K21</f>
        <v>3527.54</v>
      </c>
      <c r="L28" s="223"/>
    </row>
    <row r="29" spans="2:12" x14ac:dyDescent="0.2">
      <c r="B29" s="224"/>
      <c r="C29" s="228"/>
      <c r="D29" s="224"/>
      <c r="E29" s="270"/>
      <c r="F29" s="270"/>
      <c r="G29" s="270"/>
      <c r="H29" s="270"/>
      <c r="I29" s="270"/>
      <c r="J29" s="270"/>
      <c r="K29" s="271"/>
      <c r="L29" s="223"/>
    </row>
    <row r="30" spans="2:12" ht="15" x14ac:dyDescent="0.2">
      <c r="B30" s="207">
        <v>6</v>
      </c>
      <c r="C30" s="229" t="s">
        <v>198</v>
      </c>
      <c r="D30" s="224"/>
      <c r="E30" s="270"/>
      <c r="F30" s="270"/>
      <c r="G30" s="270"/>
      <c r="H30" s="270"/>
      <c r="I30" s="270"/>
      <c r="J30" s="270"/>
      <c r="K30" s="271"/>
      <c r="L30" s="223"/>
    </row>
    <row r="31" spans="2:12" x14ac:dyDescent="0.2">
      <c r="B31" s="224">
        <f>B30+0.1</f>
        <v>6.1</v>
      </c>
      <c r="C31" s="228" t="s">
        <v>43</v>
      </c>
      <c r="D31" s="224" t="s">
        <v>44</v>
      </c>
      <c r="E31" s="270">
        <v>2450</v>
      </c>
      <c r="F31" s="270">
        <v>2450</v>
      </c>
      <c r="G31" s="270">
        <v>2450</v>
      </c>
      <c r="H31" s="270">
        <v>2450</v>
      </c>
      <c r="I31" s="270">
        <v>2450</v>
      </c>
      <c r="J31" s="270">
        <v>2450</v>
      </c>
      <c r="K31" s="271">
        <v>2450</v>
      </c>
      <c r="L31" s="223"/>
    </row>
    <row r="32" spans="2:12" ht="28.5" x14ac:dyDescent="0.2">
      <c r="B32" s="224">
        <f>B31+0.1</f>
        <v>6.1999999999999993</v>
      </c>
      <c r="C32" s="225" t="s">
        <v>156</v>
      </c>
      <c r="D32" s="224" t="s">
        <v>44</v>
      </c>
      <c r="E32" s="270"/>
      <c r="F32" s="274">
        <v>2275.6433416740865</v>
      </c>
      <c r="G32" s="274">
        <f>F32</f>
        <v>2275.6433416740865</v>
      </c>
      <c r="H32" s="270"/>
      <c r="I32" s="270">
        <v>2450</v>
      </c>
      <c r="J32" s="270"/>
      <c r="K32" s="271">
        <v>2450</v>
      </c>
      <c r="L32" s="223"/>
    </row>
    <row r="33" spans="2:12" x14ac:dyDescent="0.2">
      <c r="B33" s="224"/>
      <c r="C33" s="225"/>
      <c r="D33" s="224"/>
      <c r="E33" s="270"/>
      <c r="F33" s="270"/>
      <c r="G33" s="270"/>
      <c r="H33" s="270"/>
      <c r="I33" s="270"/>
      <c r="J33" s="270"/>
      <c r="K33" s="271"/>
      <c r="L33" s="223"/>
    </row>
    <row r="34" spans="2:12" ht="15" x14ac:dyDescent="0.2">
      <c r="B34" s="207">
        <v>7</v>
      </c>
      <c r="C34" s="220" t="s">
        <v>169</v>
      </c>
      <c r="D34" s="224"/>
      <c r="E34" s="270"/>
      <c r="F34" s="270"/>
      <c r="G34" s="270"/>
      <c r="H34" s="270"/>
      <c r="I34" s="270"/>
      <c r="J34" s="270"/>
      <c r="K34" s="271"/>
      <c r="L34" s="223"/>
    </row>
    <row r="35" spans="2:12" ht="28.5" x14ac:dyDescent="0.2">
      <c r="B35" s="224">
        <f>B34+0.1</f>
        <v>7.1</v>
      </c>
      <c r="C35" s="225" t="s">
        <v>45</v>
      </c>
      <c r="D35" s="224" t="s">
        <v>46</v>
      </c>
      <c r="E35" s="270">
        <v>0.5</v>
      </c>
      <c r="F35" s="270">
        <v>0.5</v>
      </c>
      <c r="G35" s="270">
        <v>0.5</v>
      </c>
      <c r="H35" s="270">
        <v>0.5</v>
      </c>
      <c r="I35" s="270">
        <v>0.5</v>
      </c>
      <c r="J35" s="270">
        <v>0.5</v>
      </c>
      <c r="K35" s="271">
        <v>0.5</v>
      </c>
      <c r="L35" s="223"/>
    </row>
    <row r="36" spans="2:12" ht="28.5" x14ac:dyDescent="0.2">
      <c r="B36" s="224">
        <f>B35+0.1</f>
        <v>7.1999999999999993</v>
      </c>
      <c r="C36" s="225" t="s">
        <v>157</v>
      </c>
      <c r="D36" s="224" t="s">
        <v>46</v>
      </c>
      <c r="E36" s="270"/>
      <c r="F36" s="274">
        <v>0.12658314455196615</v>
      </c>
      <c r="G36" s="274">
        <f>F36</f>
        <v>0.12658314455196615</v>
      </c>
      <c r="H36" s="270"/>
      <c r="I36" s="270">
        <v>0.5</v>
      </c>
      <c r="J36" s="270"/>
      <c r="K36" s="271">
        <v>0.5</v>
      </c>
      <c r="L36" s="223"/>
    </row>
    <row r="37" spans="2:12" x14ac:dyDescent="0.2">
      <c r="B37" s="224"/>
      <c r="C37" s="225"/>
      <c r="D37" s="224"/>
      <c r="E37" s="270"/>
      <c r="F37" s="270"/>
      <c r="G37" s="270"/>
      <c r="H37" s="270"/>
      <c r="I37" s="270"/>
      <c r="J37" s="270"/>
      <c r="K37" s="271"/>
      <c r="L37" s="223"/>
    </row>
    <row r="38" spans="2:12" ht="15" x14ac:dyDescent="0.2">
      <c r="B38" s="207">
        <v>8</v>
      </c>
      <c r="C38" s="220" t="s">
        <v>48</v>
      </c>
      <c r="D38" s="224"/>
      <c r="E38" s="272"/>
      <c r="F38" s="272"/>
      <c r="G38" s="272"/>
      <c r="H38" s="272"/>
      <c r="I38" s="272"/>
      <c r="J38" s="272"/>
      <c r="K38" s="272"/>
      <c r="L38" s="223"/>
    </row>
    <row r="39" spans="2:12" x14ac:dyDescent="0.2">
      <c r="B39" s="224">
        <f>B38+0.1</f>
        <v>8.1</v>
      </c>
      <c r="C39" s="225" t="s">
        <v>47</v>
      </c>
      <c r="D39" s="224" t="s">
        <v>37</v>
      </c>
      <c r="E39" s="270">
        <v>0.8</v>
      </c>
      <c r="F39" s="270">
        <v>0.8</v>
      </c>
      <c r="G39" s="270">
        <v>0.8</v>
      </c>
      <c r="H39" s="270">
        <v>0.8</v>
      </c>
      <c r="I39" s="270">
        <v>0.8</v>
      </c>
      <c r="J39" s="270">
        <v>0.8</v>
      </c>
      <c r="K39" s="271">
        <v>0.8</v>
      </c>
      <c r="L39" s="223"/>
    </row>
    <row r="40" spans="2:12" x14ac:dyDescent="0.2">
      <c r="B40" s="224">
        <f>B39+0.1</f>
        <v>8.1999999999999993</v>
      </c>
      <c r="C40" s="225" t="s">
        <v>158</v>
      </c>
      <c r="D40" s="224" t="s">
        <v>37</v>
      </c>
      <c r="E40" s="270"/>
      <c r="F40" s="270"/>
      <c r="G40" s="270"/>
      <c r="H40" s="270"/>
      <c r="I40" s="270">
        <v>0.8</v>
      </c>
      <c r="J40" s="270"/>
      <c r="K40" s="271">
        <v>0.8</v>
      </c>
      <c r="L40" s="223"/>
    </row>
    <row r="41" spans="2:12" ht="15" x14ac:dyDescent="0.2">
      <c r="B41" s="207"/>
      <c r="C41" s="220"/>
      <c r="D41" s="221"/>
      <c r="E41" s="278"/>
      <c r="F41" s="279"/>
      <c r="G41" s="279"/>
      <c r="H41" s="279"/>
      <c r="I41" s="279"/>
      <c r="J41" s="279"/>
      <c r="K41" s="280"/>
      <c r="L41" s="215"/>
    </row>
    <row r="42" spans="2:12" ht="15" x14ac:dyDescent="0.2">
      <c r="B42" s="38"/>
      <c r="C42" s="84"/>
      <c r="D42" s="230"/>
      <c r="E42" s="230"/>
      <c r="F42" s="38"/>
      <c r="G42" s="38"/>
      <c r="H42" s="38"/>
      <c r="I42" s="38"/>
      <c r="J42" s="38"/>
    </row>
    <row r="43" spans="2:12" ht="16.5" x14ac:dyDescent="0.2">
      <c r="D43" s="231"/>
      <c r="E43" s="231"/>
      <c r="F43" s="85"/>
      <c r="G43" s="85"/>
      <c r="H43" s="85"/>
      <c r="I43" s="85"/>
      <c r="J43" s="85"/>
    </row>
    <row r="44" spans="2:12" ht="16.5" x14ac:dyDescent="0.2">
      <c r="B44" s="13"/>
      <c r="F44" s="85"/>
      <c r="G44" s="85"/>
      <c r="H44" s="85"/>
      <c r="I44" s="85"/>
      <c r="J44" s="85"/>
    </row>
    <row r="45" spans="2:12" ht="16.5" x14ac:dyDescent="0.2">
      <c r="C45" s="269"/>
      <c r="F45" s="85"/>
      <c r="G45" s="85"/>
      <c r="H45" s="85"/>
      <c r="I45" s="85"/>
      <c r="J45" s="85"/>
    </row>
    <row r="46" spans="2:12" x14ac:dyDescent="0.2">
      <c r="F46" s="232"/>
      <c r="G46" s="232"/>
      <c r="H46" s="232"/>
      <c r="I46" s="232"/>
      <c r="J46" s="232"/>
    </row>
  </sheetData>
  <mergeCells count="7">
    <mergeCell ref="L4:L6"/>
    <mergeCell ref="B4:B6"/>
    <mergeCell ref="C4:C6"/>
    <mergeCell ref="D4:D6"/>
    <mergeCell ref="E4:G4"/>
    <mergeCell ref="H4:I4"/>
    <mergeCell ref="J4:K4"/>
  </mergeCells>
  <pageMargins left="1.41" right="0.5" top="0.43" bottom="0.63" header="0.5" footer="0.5"/>
  <pageSetup paperSize="9" scale="72"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52"/>
  <sheetViews>
    <sheetView showGridLines="0" showWhiteSpace="0" view="pageBreakPreview" topLeftCell="A33" zoomScale="89" zoomScaleNormal="91" zoomScaleSheetLayoutView="89" zoomScalePageLayoutView="48" workbookViewId="0">
      <selection activeCell="R44" sqref="R44"/>
    </sheetView>
  </sheetViews>
  <sheetFormatPr defaultColWidth="9.28515625" defaultRowHeight="18" x14ac:dyDescent="0.2"/>
  <cols>
    <col min="1" max="1" width="2.28515625" style="86" customWidth="1"/>
    <col min="2" max="2" width="8.140625" style="86" customWidth="1"/>
    <col min="3" max="3" width="57.5703125" style="288" customWidth="1"/>
    <col min="4" max="4" width="8.42578125" style="177" customWidth="1"/>
    <col min="5" max="5" width="15.85546875" style="178" customWidth="1"/>
    <col min="6" max="16" width="15.85546875" style="86" customWidth="1"/>
    <col min="17" max="20" width="15.85546875" style="178" customWidth="1"/>
    <col min="21" max="22" width="15.85546875" style="86" customWidth="1"/>
    <col min="23" max="16384" width="9.28515625" style="86"/>
  </cols>
  <sheetData>
    <row r="2" spans="2:22" x14ac:dyDescent="0.2">
      <c r="M2" s="32" t="s">
        <v>383</v>
      </c>
    </row>
    <row r="3" spans="2:22" x14ac:dyDescent="0.2">
      <c r="M3" s="32" t="s">
        <v>448</v>
      </c>
    </row>
    <row r="4" spans="2:22" x14ac:dyDescent="0.2">
      <c r="M4" s="35" t="s">
        <v>324</v>
      </c>
    </row>
    <row r="6" spans="2:22" ht="15" x14ac:dyDescent="0.2">
      <c r="B6" s="340" t="s">
        <v>186</v>
      </c>
      <c r="C6" s="341" t="s">
        <v>14</v>
      </c>
      <c r="D6" s="340" t="s">
        <v>35</v>
      </c>
      <c r="E6" s="340" t="s">
        <v>384</v>
      </c>
      <c r="F6" s="340"/>
      <c r="G6" s="340"/>
      <c r="H6" s="340"/>
      <c r="I6" s="340"/>
      <c r="J6" s="340"/>
      <c r="K6" s="340"/>
      <c r="L6" s="340"/>
      <c r="M6" s="340"/>
      <c r="N6" s="340"/>
      <c r="O6" s="340"/>
      <c r="P6" s="340"/>
      <c r="Q6" s="340" t="s">
        <v>385</v>
      </c>
      <c r="R6" s="340"/>
      <c r="S6" s="340"/>
      <c r="T6" s="340"/>
      <c r="U6" s="340"/>
      <c r="V6" s="340"/>
    </row>
    <row r="7" spans="2:22" x14ac:dyDescent="0.2">
      <c r="B7" s="340"/>
      <c r="C7" s="341"/>
      <c r="D7" s="340"/>
      <c r="E7" s="180" t="s">
        <v>136</v>
      </c>
      <c r="F7" s="179" t="s">
        <v>137</v>
      </c>
      <c r="G7" s="179" t="s">
        <v>138</v>
      </c>
      <c r="H7" s="179" t="s">
        <v>139</v>
      </c>
      <c r="I7" s="179" t="s">
        <v>140</v>
      </c>
      <c r="J7" s="179" t="s">
        <v>141</v>
      </c>
      <c r="K7" s="179" t="s">
        <v>142</v>
      </c>
      <c r="L7" s="179" t="s">
        <v>143</v>
      </c>
      <c r="M7" s="179" t="s">
        <v>144</v>
      </c>
      <c r="N7" s="179" t="s">
        <v>145</v>
      </c>
      <c r="O7" s="179" t="s">
        <v>146</v>
      </c>
      <c r="P7" s="179" t="s">
        <v>147</v>
      </c>
      <c r="Q7" s="180" t="s">
        <v>136</v>
      </c>
      <c r="R7" s="180" t="s">
        <v>137</v>
      </c>
      <c r="S7" s="180" t="s">
        <v>138</v>
      </c>
      <c r="T7" s="180" t="s">
        <v>139</v>
      </c>
      <c r="U7" s="179" t="s">
        <v>140</v>
      </c>
      <c r="V7" s="179" t="s">
        <v>141</v>
      </c>
    </row>
    <row r="8" spans="2:22" x14ac:dyDescent="0.2">
      <c r="B8" s="179" t="s">
        <v>62</v>
      </c>
      <c r="C8" s="198" t="s">
        <v>281</v>
      </c>
      <c r="E8" s="182"/>
      <c r="F8" s="182"/>
      <c r="G8" s="182"/>
      <c r="H8" s="182"/>
      <c r="I8" s="182"/>
      <c r="J8" s="182"/>
      <c r="K8" s="182"/>
      <c r="L8" s="182"/>
      <c r="M8" s="182"/>
      <c r="N8" s="182"/>
      <c r="O8" s="182"/>
      <c r="P8" s="182"/>
      <c r="Q8" s="183"/>
      <c r="R8" s="183"/>
      <c r="S8" s="183"/>
      <c r="T8" s="183"/>
      <c r="U8" s="184"/>
      <c r="V8" s="184"/>
    </row>
    <row r="9" spans="2:22" x14ac:dyDescent="0.2">
      <c r="B9" s="185">
        <v>1</v>
      </c>
      <c r="C9" s="194" t="s">
        <v>282</v>
      </c>
      <c r="D9" s="185" t="s">
        <v>284</v>
      </c>
      <c r="E9" s="186">
        <v>24302.65</v>
      </c>
      <c r="F9" s="186">
        <v>34995.85</v>
      </c>
      <c r="G9" s="186">
        <v>44321.845000000554</v>
      </c>
      <c r="H9" s="186">
        <v>45096.735000000568</v>
      </c>
      <c r="I9" s="186">
        <v>66736.009999999995</v>
      </c>
      <c r="J9" s="186">
        <v>90400.56</v>
      </c>
      <c r="K9" s="186">
        <v>67902.41</v>
      </c>
      <c r="L9" s="186">
        <v>55032.67500000057</v>
      </c>
      <c r="M9" s="186">
        <v>81247.025000000605</v>
      </c>
      <c r="N9" s="186">
        <v>84712.195000000604</v>
      </c>
      <c r="O9" s="186">
        <v>103008.8950000006</v>
      </c>
      <c r="P9" s="186">
        <v>139300.1450000006</v>
      </c>
      <c r="Q9" s="187">
        <v>155433.53500000061</v>
      </c>
      <c r="R9" s="187">
        <v>135304.81500000064</v>
      </c>
      <c r="S9" s="187">
        <v>110913.89500000066</v>
      </c>
      <c r="T9" s="187">
        <v>118892.48500000066</v>
      </c>
      <c r="U9" s="187">
        <v>177524.14500000066</v>
      </c>
      <c r="V9" s="187">
        <v>185936.38500000065</v>
      </c>
    </row>
    <row r="10" spans="2:22" x14ac:dyDescent="0.2">
      <c r="B10" s="185">
        <f>B9+1</f>
        <v>2</v>
      </c>
      <c r="C10" s="194" t="s">
        <v>283</v>
      </c>
      <c r="D10" s="188" t="s">
        <v>412</v>
      </c>
      <c r="E10" s="186">
        <v>13.101900000000001</v>
      </c>
      <c r="F10" s="186">
        <v>19.916899999999998</v>
      </c>
      <c r="G10" s="186">
        <v>26.187110971882579</v>
      </c>
      <c r="H10" s="186">
        <v>26.557035180437104</v>
      </c>
      <c r="I10" s="186">
        <v>38.840499999999999</v>
      </c>
      <c r="J10" s="186">
        <v>52.351900000000001</v>
      </c>
      <c r="K10" s="186">
        <v>35.114800000000002</v>
      </c>
      <c r="L10" s="186">
        <v>29.926808778961288</v>
      </c>
      <c r="M10" s="186">
        <v>45.120975665407975</v>
      </c>
      <c r="N10" s="186">
        <v>44.389190802493061</v>
      </c>
      <c r="O10" s="186">
        <v>55.613105011888671</v>
      </c>
      <c r="P10" s="186">
        <v>82.862255713452683</v>
      </c>
      <c r="Q10" s="187">
        <v>98.717406158006497</v>
      </c>
      <c r="R10" s="187">
        <v>76.471068457667428</v>
      </c>
      <c r="S10" s="187">
        <v>62.341089209095799</v>
      </c>
      <c r="T10" s="187">
        <v>72.167356026905082</v>
      </c>
      <c r="U10" s="187">
        <v>101.03030010338166</v>
      </c>
      <c r="V10" s="187">
        <v>102.5309487240843</v>
      </c>
    </row>
    <row r="11" spans="2:22" x14ac:dyDescent="0.2">
      <c r="B11" s="179" t="s">
        <v>66</v>
      </c>
      <c r="C11" s="198" t="s">
        <v>285</v>
      </c>
      <c r="D11" s="185"/>
      <c r="E11" s="186"/>
      <c r="F11" s="186"/>
      <c r="G11" s="186"/>
      <c r="H11" s="186"/>
      <c r="I11" s="186"/>
      <c r="J11" s="186"/>
      <c r="K11" s="186"/>
      <c r="L11" s="186"/>
      <c r="M11" s="186"/>
      <c r="N11" s="186"/>
      <c r="O11" s="186"/>
      <c r="P11" s="186"/>
      <c r="Q11" s="187"/>
      <c r="R11" s="187"/>
      <c r="S11" s="187"/>
      <c r="T11" s="187"/>
      <c r="U11" s="187"/>
      <c r="V11" s="187"/>
    </row>
    <row r="12" spans="2:22" x14ac:dyDescent="0.2">
      <c r="B12" s="185">
        <f>B10+1</f>
        <v>3</v>
      </c>
      <c r="C12" s="194" t="s">
        <v>286</v>
      </c>
      <c r="D12" s="185" t="s">
        <v>284</v>
      </c>
      <c r="E12" s="186">
        <v>183880.7</v>
      </c>
      <c r="F12" s="186">
        <v>170971.78</v>
      </c>
      <c r="G12" s="186">
        <v>151864.18000000002</v>
      </c>
      <c r="H12" s="186">
        <v>181441.95999999996</v>
      </c>
      <c r="I12" s="186">
        <v>183922.24</v>
      </c>
      <c r="J12" s="186">
        <v>143811.16</v>
      </c>
      <c r="K12" s="186">
        <v>145417.98000000001</v>
      </c>
      <c r="L12" s="186">
        <v>178966.91</v>
      </c>
      <c r="M12" s="186">
        <v>162820.63999999998</v>
      </c>
      <c r="N12" s="186">
        <v>182838.08</v>
      </c>
      <c r="O12" s="186">
        <v>196177.16000000003</v>
      </c>
      <c r="P12" s="186">
        <v>199655.26</v>
      </c>
      <c r="Q12" s="187">
        <v>139831.32</v>
      </c>
      <c r="R12" s="187">
        <v>100977.57999999999</v>
      </c>
      <c r="S12" s="187">
        <v>128103.54000000001</v>
      </c>
      <c r="T12" s="187">
        <v>151202.97999999998</v>
      </c>
      <c r="U12" s="187">
        <v>82598.399999999994</v>
      </c>
      <c r="V12" s="187">
        <v>59905.960000000006</v>
      </c>
    </row>
    <row r="13" spans="2:22" ht="28.5" x14ac:dyDescent="0.2">
      <c r="B13" s="185">
        <f>B12+1</f>
        <v>4</v>
      </c>
      <c r="C13" s="194" t="s">
        <v>376</v>
      </c>
      <c r="D13" s="185" t="s">
        <v>284</v>
      </c>
      <c r="E13" s="186"/>
      <c r="F13" s="186"/>
      <c r="G13" s="186"/>
      <c r="H13" s="186"/>
      <c r="I13" s="186"/>
      <c r="J13" s="186"/>
      <c r="K13" s="186"/>
      <c r="L13" s="186"/>
      <c r="M13" s="186"/>
      <c r="N13" s="186"/>
      <c r="O13" s="186"/>
      <c r="P13" s="186"/>
      <c r="Q13" s="187"/>
      <c r="R13" s="187"/>
      <c r="S13" s="187"/>
      <c r="T13" s="187"/>
      <c r="U13" s="187"/>
      <c r="V13" s="187"/>
    </row>
    <row r="14" spans="2:22" x14ac:dyDescent="0.2">
      <c r="B14" s="185">
        <f>B13+1</f>
        <v>5</v>
      </c>
      <c r="C14" s="194" t="s">
        <v>287</v>
      </c>
      <c r="D14" s="185" t="s">
        <v>284</v>
      </c>
      <c r="E14" s="189">
        <f>E12+E13</f>
        <v>183880.7</v>
      </c>
      <c r="F14" s="189">
        <f t="shared" ref="F14:V14" si="0">F12+F13</f>
        <v>170971.78</v>
      </c>
      <c r="G14" s="189">
        <f t="shared" si="0"/>
        <v>151864.18000000002</v>
      </c>
      <c r="H14" s="189">
        <f t="shared" si="0"/>
        <v>181441.95999999996</v>
      </c>
      <c r="I14" s="189">
        <f t="shared" si="0"/>
        <v>183922.24</v>
      </c>
      <c r="J14" s="189">
        <f t="shared" si="0"/>
        <v>143811.16</v>
      </c>
      <c r="K14" s="189">
        <f t="shared" si="0"/>
        <v>145417.98000000001</v>
      </c>
      <c r="L14" s="189">
        <f t="shared" si="0"/>
        <v>178966.91</v>
      </c>
      <c r="M14" s="189">
        <f t="shared" si="0"/>
        <v>162820.63999999998</v>
      </c>
      <c r="N14" s="189">
        <f t="shared" si="0"/>
        <v>182838.08</v>
      </c>
      <c r="O14" s="189">
        <f t="shared" si="0"/>
        <v>196177.16000000003</v>
      </c>
      <c r="P14" s="189">
        <f t="shared" si="0"/>
        <v>199655.26</v>
      </c>
      <c r="Q14" s="190">
        <f t="shared" si="0"/>
        <v>139831.32</v>
      </c>
      <c r="R14" s="190">
        <f t="shared" si="0"/>
        <v>100977.57999999999</v>
      </c>
      <c r="S14" s="190">
        <f t="shared" si="0"/>
        <v>128103.54000000001</v>
      </c>
      <c r="T14" s="190">
        <f t="shared" si="0"/>
        <v>151202.97999999998</v>
      </c>
      <c r="U14" s="190">
        <f t="shared" si="0"/>
        <v>82598.399999999994</v>
      </c>
      <c r="V14" s="190">
        <f t="shared" si="0"/>
        <v>59905.960000000006</v>
      </c>
    </row>
    <row r="15" spans="2:22" x14ac:dyDescent="0.2">
      <c r="B15" s="185">
        <f>B14+1</f>
        <v>6</v>
      </c>
      <c r="C15" s="194" t="s">
        <v>288</v>
      </c>
      <c r="D15" s="185" t="s">
        <v>284</v>
      </c>
      <c r="E15" s="186">
        <v>1471.05</v>
      </c>
      <c r="F15" s="186">
        <v>1367.77</v>
      </c>
      <c r="G15" s="186">
        <v>1214.9134400000039</v>
      </c>
      <c r="H15" s="186">
        <v>1451.5356800000009</v>
      </c>
      <c r="I15" s="186">
        <v>1471.38</v>
      </c>
      <c r="J15" s="186">
        <v>1150.49</v>
      </c>
      <c r="K15" s="186">
        <v>1163.3399999999999</v>
      </c>
      <c r="L15" s="186">
        <v>1431.74</v>
      </c>
      <c r="M15" s="186">
        <v>1302.57</v>
      </c>
      <c r="N15" s="186">
        <v>1462.7</v>
      </c>
      <c r="O15" s="186">
        <v>1569.4172799999942</v>
      </c>
      <c r="P15" s="186">
        <v>1597.24</v>
      </c>
      <c r="Q15" s="187">
        <v>1118.6505600000091</v>
      </c>
      <c r="R15" s="187">
        <v>807.82064000000537</v>
      </c>
      <c r="S15" s="187">
        <v>1024.8283200000005</v>
      </c>
      <c r="T15" s="187">
        <v>1209.6238400000148</v>
      </c>
      <c r="U15" s="187">
        <v>660.78720000000612</v>
      </c>
      <c r="V15" s="187">
        <v>479.2476800000004</v>
      </c>
    </row>
    <row r="16" spans="2:22" x14ac:dyDescent="0.2">
      <c r="B16" s="185">
        <f>B15+1</f>
        <v>7</v>
      </c>
      <c r="C16" s="194" t="s">
        <v>289</v>
      </c>
      <c r="D16" s="185" t="s">
        <v>284</v>
      </c>
      <c r="E16" s="189">
        <f>E14-E15</f>
        <v>182409.65000000002</v>
      </c>
      <c r="F16" s="189">
        <f t="shared" ref="F16:V16" si="1">F14-F15</f>
        <v>169604.01</v>
      </c>
      <c r="G16" s="189">
        <f t="shared" si="1"/>
        <v>150649.26656000002</v>
      </c>
      <c r="H16" s="189">
        <f t="shared" si="1"/>
        <v>179990.42431999996</v>
      </c>
      <c r="I16" s="189">
        <f t="shared" si="1"/>
        <v>182450.86</v>
      </c>
      <c r="J16" s="189">
        <f t="shared" si="1"/>
        <v>142660.67000000001</v>
      </c>
      <c r="K16" s="189">
        <f t="shared" si="1"/>
        <v>144254.64000000001</v>
      </c>
      <c r="L16" s="189">
        <f t="shared" si="1"/>
        <v>177535.17</v>
      </c>
      <c r="M16" s="189">
        <f t="shared" si="1"/>
        <v>161518.06999999998</v>
      </c>
      <c r="N16" s="189">
        <f t="shared" si="1"/>
        <v>181375.37999999998</v>
      </c>
      <c r="O16" s="189">
        <f t="shared" si="1"/>
        <v>194607.74272000004</v>
      </c>
      <c r="P16" s="189">
        <f t="shared" si="1"/>
        <v>198058.02000000002</v>
      </c>
      <c r="Q16" s="190">
        <f t="shared" si="1"/>
        <v>138712.66944</v>
      </c>
      <c r="R16" s="190">
        <f t="shared" si="1"/>
        <v>100169.75935999998</v>
      </c>
      <c r="S16" s="190">
        <f t="shared" si="1"/>
        <v>127078.71168000001</v>
      </c>
      <c r="T16" s="190">
        <f t="shared" si="1"/>
        <v>149993.35615999997</v>
      </c>
      <c r="U16" s="190">
        <f t="shared" si="1"/>
        <v>81937.612799999988</v>
      </c>
      <c r="V16" s="190">
        <f t="shared" si="1"/>
        <v>59426.712320000006</v>
      </c>
    </row>
    <row r="17" spans="2:22" x14ac:dyDescent="0.2">
      <c r="B17" s="179" t="s">
        <v>67</v>
      </c>
      <c r="C17" s="198" t="s">
        <v>290</v>
      </c>
      <c r="D17" s="185"/>
      <c r="E17" s="186"/>
      <c r="F17" s="186"/>
      <c r="G17" s="186"/>
      <c r="H17" s="186"/>
      <c r="I17" s="186"/>
      <c r="J17" s="186"/>
      <c r="K17" s="186"/>
      <c r="L17" s="186"/>
      <c r="M17" s="186"/>
      <c r="N17" s="186"/>
      <c r="O17" s="186"/>
      <c r="P17" s="186"/>
      <c r="Q17" s="187"/>
      <c r="R17" s="187"/>
      <c r="S17" s="187"/>
      <c r="T17" s="187"/>
      <c r="U17" s="187"/>
      <c r="V17" s="187"/>
    </row>
    <row r="18" spans="2:22" x14ac:dyDescent="0.2">
      <c r="B18" s="185">
        <f>B16+1</f>
        <v>8</v>
      </c>
      <c r="C18" s="194" t="s">
        <v>291</v>
      </c>
      <c r="D18" s="188" t="s">
        <v>412</v>
      </c>
      <c r="E18" s="186">
        <v>102.57550000000001</v>
      </c>
      <c r="F18" s="186">
        <v>98.1173</v>
      </c>
      <c r="G18" s="186">
        <v>87.892857813999996</v>
      </c>
      <c r="H18" s="186">
        <v>100.66151000000001</v>
      </c>
      <c r="I18" s="186">
        <v>107.681</v>
      </c>
      <c r="J18" s="186">
        <v>69.941599999999994</v>
      </c>
      <c r="K18" s="186">
        <v>79.866</v>
      </c>
      <c r="L18" s="186">
        <v>97.827513143999994</v>
      </c>
      <c r="M18" s="186">
        <v>79.525933328999997</v>
      </c>
      <c r="N18" s="186">
        <v>96.827003146999999</v>
      </c>
      <c r="O18" s="186">
        <v>111.54616761600001</v>
      </c>
      <c r="P18" s="186">
        <v>129.99614772599998</v>
      </c>
      <c r="Q18" s="187">
        <v>64.047142325999999</v>
      </c>
      <c r="R18" s="187">
        <v>55.648052874000001</v>
      </c>
      <c r="S18" s="187">
        <v>78.368630331000006</v>
      </c>
      <c r="T18" s="187">
        <v>78.167631211</v>
      </c>
      <c r="U18" s="187">
        <v>39.423913185000004</v>
      </c>
      <c r="V18" s="187">
        <v>25.707338564000004</v>
      </c>
    </row>
    <row r="19" spans="2:22" x14ac:dyDescent="0.2">
      <c r="B19" s="185">
        <f>B18+1</f>
        <v>9</v>
      </c>
      <c r="C19" s="194" t="s">
        <v>292</v>
      </c>
      <c r="D19" s="188" t="s">
        <v>412</v>
      </c>
      <c r="E19" s="191">
        <v>-3.4634</v>
      </c>
      <c r="F19" s="186">
        <v>-2.3685</v>
      </c>
      <c r="G19" s="186">
        <v>-3.4550424599207998</v>
      </c>
      <c r="H19" s="186">
        <v>-1.7130000000000001</v>
      </c>
      <c r="I19" s="186">
        <v>-10.1927</v>
      </c>
      <c r="J19" s="186">
        <v>-5.5738000000000003</v>
      </c>
      <c r="K19" s="186">
        <v>-4.7321</v>
      </c>
      <c r="L19" s="186">
        <v>-4.5774023850240004</v>
      </c>
      <c r="M19" s="186">
        <v>-2.2644712991208</v>
      </c>
      <c r="N19" s="186">
        <v>-3.1581288264456</v>
      </c>
      <c r="O19" s="186">
        <v>4.5724648027043999</v>
      </c>
      <c r="P19" s="186">
        <v>-3.6706509883032008</v>
      </c>
      <c r="Q19" s="187">
        <v>-0.20382697203119993</v>
      </c>
      <c r="R19" s="187">
        <v>-2.2142261281316005</v>
      </c>
      <c r="S19" s="187">
        <v>-1.1895595323527999</v>
      </c>
      <c r="T19" s="187">
        <v>-4.1882264425824003</v>
      </c>
      <c r="U19" s="187">
        <v>-0.36552496799039991</v>
      </c>
      <c r="V19" s="187">
        <v>1.4627796606400236E-2</v>
      </c>
    </row>
    <row r="20" spans="2:22" x14ac:dyDescent="0.2">
      <c r="B20" s="185">
        <f>B19+1</f>
        <v>10</v>
      </c>
      <c r="C20" s="194" t="s">
        <v>293</v>
      </c>
      <c r="D20" s="188" t="s">
        <v>412</v>
      </c>
      <c r="E20" s="191">
        <v>0.13789999999999999</v>
      </c>
      <c r="F20" s="186">
        <v>0.1598</v>
      </c>
      <c r="G20" s="186">
        <v>0.18562933599999998</v>
      </c>
      <c r="H20" s="186">
        <v>0.1673</v>
      </c>
      <c r="I20" s="186">
        <v>0.25059999999999999</v>
      </c>
      <c r="J20" s="186">
        <v>0.1633</v>
      </c>
      <c r="K20" s="186">
        <v>0.30059999999999998</v>
      </c>
      <c r="L20" s="186">
        <v>0.26242399799999999</v>
      </c>
      <c r="M20" s="186">
        <v>0.22146841</v>
      </c>
      <c r="N20" s="186">
        <v>0.48502056700000001</v>
      </c>
      <c r="O20" s="186">
        <v>0.67158138749999996</v>
      </c>
      <c r="P20" s="186">
        <v>0.358518485</v>
      </c>
      <c r="Q20" s="187">
        <v>0.127607366</v>
      </c>
      <c r="R20" s="187">
        <v>0.157542443</v>
      </c>
      <c r="S20" s="187">
        <v>0.19810291799999999</v>
      </c>
      <c r="T20" s="187">
        <v>0.35816420700000001</v>
      </c>
      <c r="U20" s="187">
        <v>0.55558972500000003</v>
      </c>
      <c r="V20" s="187">
        <v>0.17668009499999998</v>
      </c>
    </row>
    <row r="21" spans="2:22" x14ac:dyDescent="0.2">
      <c r="B21" s="185">
        <f>B20+1</f>
        <v>11</v>
      </c>
      <c r="C21" s="194" t="s">
        <v>294</v>
      </c>
      <c r="D21" s="188" t="s">
        <v>412</v>
      </c>
      <c r="E21" s="192">
        <f>E18+E19+E20</f>
        <v>99.25</v>
      </c>
      <c r="F21" s="193">
        <f t="shared" ref="F21:V21" si="2">F18+F19+F20</f>
        <v>95.908600000000007</v>
      </c>
      <c r="G21" s="189">
        <f t="shared" si="2"/>
        <v>84.623444690079197</v>
      </c>
      <c r="H21" s="189">
        <f t="shared" si="2"/>
        <v>99.11581000000001</v>
      </c>
      <c r="I21" s="189">
        <f t="shared" si="2"/>
        <v>97.738900000000001</v>
      </c>
      <c r="J21" s="189">
        <f t="shared" si="2"/>
        <v>64.531099999999995</v>
      </c>
      <c r="K21" s="189">
        <f t="shared" si="2"/>
        <v>75.4345</v>
      </c>
      <c r="L21" s="189">
        <f t="shared" si="2"/>
        <v>93.512534756975995</v>
      </c>
      <c r="M21" s="189">
        <f t="shared" si="2"/>
        <v>77.482930439879198</v>
      </c>
      <c r="N21" s="189">
        <f t="shared" si="2"/>
        <v>94.153894887554401</v>
      </c>
      <c r="O21" s="189">
        <f t="shared" si="2"/>
        <v>116.79021380620441</v>
      </c>
      <c r="P21" s="189">
        <f t="shared" si="2"/>
        <v>126.68401522269679</v>
      </c>
      <c r="Q21" s="190">
        <f t="shared" si="2"/>
        <v>63.970922719968797</v>
      </c>
      <c r="R21" s="190">
        <f t="shared" si="2"/>
        <v>53.591369188868399</v>
      </c>
      <c r="S21" s="190">
        <f t="shared" si="2"/>
        <v>77.377173716647206</v>
      </c>
      <c r="T21" s="190">
        <f t="shared" si="2"/>
        <v>74.337568975417597</v>
      </c>
      <c r="U21" s="190">
        <f t="shared" si="2"/>
        <v>39.613977942009598</v>
      </c>
      <c r="V21" s="190">
        <f t="shared" si="2"/>
        <v>25.898646455606404</v>
      </c>
    </row>
    <row r="22" spans="2:22" x14ac:dyDescent="0.2">
      <c r="B22" s="179" t="s">
        <v>295</v>
      </c>
      <c r="C22" s="198" t="s">
        <v>296</v>
      </c>
      <c r="D22" s="185"/>
      <c r="E22" s="186"/>
      <c r="F22" s="186"/>
      <c r="G22" s="186"/>
      <c r="H22" s="186"/>
      <c r="I22" s="186"/>
      <c r="J22" s="186"/>
      <c r="K22" s="186"/>
      <c r="L22" s="186"/>
      <c r="M22" s="186"/>
      <c r="N22" s="186"/>
      <c r="O22" s="186"/>
      <c r="P22" s="186"/>
      <c r="Q22" s="187"/>
      <c r="R22" s="187"/>
      <c r="S22" s="187"/>
      <c r="T22" s="187"/>
      <c r="U22" s="187"/>
      <c r="V22" s="187"/>
    </row>
    <row r="23" spans="2:22" x14ac:dyDescent="0.2">
      <c r="B23" s="185">
        <f>B21+1</f>
        <v>12</v>
      </c>
      <c r="C23" s="194" t="s">
        <v>297</v>
      </c>
      <c r="D23" s="185"/>
      <c r="E23" s="186"/>
      <c r="F23" s="186"/>
      <c r="G23" s="186"/>
      <c r="H23" s="186"/>
      <c r="I23" s="186"/>
      <c r="J23" s="186"/>
      <c r="K23" s="186"/>
      <c r="L23" s="186"/>
      <c r="M23" s="186"/>
      <c r="N23" s="186"/>
      <c r="O23" s="186"/>
      <c r="P23" s="186"/>
      <c r="Q23" s="187"/>
      <c r="R23" s="187"/>
      <c r="S23" s="187"/>
      <c r="T23" s="187"/>
      <c r="U23" s="187"/>
      <c r="V23" s="187"/>
    </row>
    <row r="24" spans="2:22" x14ac:dyDescent="0.2">
      <c r="B24" s="185"/>
      <c r="C24" s="194" t="s">
        <v>298</v>
      </c>
      <c r="D24" s="188" t="s">
        <v>412</v>
      </c>
      <c r="E24" s="186">
        <v>5.2927999999999997</v>
      </c>
      <c r="F24" s="186">
        <v>5.0602</v>
      </c>
      <c r="G24" s="186">
        <v>4.0060639640000009</v>
      </c>
      <c r="H24" s="186">
        <v>5.3281000000000001</v>
      </c>
      <c r="I24" s="186">
        <v>7.7272999999999996</v>
      </c>
      <c r="J24" s="186">
        <v>3.6414</v>
      </c>
      <c r="K24" s="186">
        <v>4.8220000000000001</v>
      </c>
      <c r="L24" s="186">
        <v>5.718472245900001</v>
      </c>
      <c r="M24" s="186">
        <v>4.6050000000000004</v>
      </c>
      <c r="N24" s="186">
        <v>5.1139999999999999</v>
      </c>
      <c r="O24" s="186">
        <v>4.6330075930000003</v>
      </c>
      <c r="P24" s="186">
        <v>4.7133000000000003</v>
      </c>
      <c r="Q24" s="187">
        <v>3.5561210057500006</v>
      </c>
      <c r="R24" s="187">
        <v>2.2901539440000001</v>
      </c>
      <c r="S24" s="187">
        <v>4.7424839250500002</v>
      </c>
      <c r="T24" s="187">
        <v>6.5199901490499999</v>
      </c>
      <c r="U24" s="187">
        <v>2.4307859602499997</v>
      </c>
      <c r="V24" s="187">
        <v>2.11095844975</v>
      </c>
    </row>
    <row r="25" spans="2:22" x14ac:dyDescent="0.2">
      <c r="B25" s="185"/>
      <c r="C25" s="194" t="s">
        <v>299</v>
      </c>
      <c r="D25" s="188" t="s">
        <v>412</v>
      </c>
      <c r="E25" s="186"/>
      <c r="F25" s="186"/>
      <c r="G25" s="186"/>
      <c r="H25" s="186"/>
      <c r="I25" s="186"/>
      <c r="J25" s="186"/>
      <c r="K25" s="186"/>
      <c r="L25" s="186"/>
      <c r="M25" s="186"/>
      <c r="N25" s="186"/>
      <c r="O25" s="186"/>
      <c r="P25" s="186"/>
      <c r="Q25" s="187"/>
      <c r="R25" s="187"/>
      <c r="S25" s="187"/>
      <c r="T25" s="187"/>
      <c r="U25" s="187"/>
      <c r="V25" s="187"/>
    </row>
    <row r="26" spans="2:22" x14ac:dyDescent="0.2">
      <c r="B26" s="185"/>
      <c r="C26" s="194" t="s">
        <v>300</v>
      </c>
      <c r="D26" s="188" t="s">
        <v>412</v>
      </c>
      <c r="E26" s="186"/>
      <c r="F26" s="186"/>
      <c r="G26" s="186"/>
      <c r="H26" s="186"/>
      <c r="I26" s="186"/>
      <c r="J26" s="186"/>
      <c r="K26" s="186"/>
      <c r="L26" s="186"/>
      <c r="M26" s="186"/>
      <c r="N26" s="186"/>
      <c r="O26" s="186"/>
      <c r="P26" s="186"/>
      <c r="Q26" s="187"/>
      <c r="R26" s="187"/>
      <c r="S26" s="187"/>
      <c r="T26" s="187"/>
      <c r="U26" s="187"/>
      <c r="V26" s="187"/>
    </row>
    <row r="27" spans="2:22" x14ac:dyDescent="0.2">
      <c r="B27" s="185"/>
      <c r="C27" s="194" t="s">
        <v>9</v>
      </c>
      <c r="D27" s="188" t="s">
        <v>412</v>
      </c>
      <c r="E27" s="186"/>
      <c r="F27" s="186"/>
      <c r="G27" s="186"/>
      <c r="H27" s="186"/>
      <c r="I27" s="186"/>
      <c r="J27" s="186"/>
      <c r="K27" s="186"/>
      <c r="L27" s="186"/>
      <c r="M27" s="186"/>
      <c r="N27" s="186"/>
      <c r="O27" s="186"/>
      <c r="P27" s="186"/>
      <c r="Q27" s="187"/>
      <c r="R27" s="187"/>
      <c r="S27" s="187"/>
      <c r="T27" s="187"/>
      <c r="U27" s="187"/>
      <c r="V27" s="187"/>
    </row>
    <row r="28" spans="2:22" x14ac:dyDescent="0.2">
      <c r="B28" s="185">
        <f>B23+1</f>
        <v>13</v>
      </c>
      <c r="C28" s="194" t="s">
        <v>301</v>
      </c>
      <c r="D28" s="188" t="s">
        <v>412</v>
      </c>
      <c r="E28" s="186"/>
      <c r="F28" s="186"/>
      <c r="G28" s="186"/>
      <c r="H28" s="186"/>
      <c r="I28" s="186"/>
      <c r="J28" s="186"/>
      <c r="K28" s="186"/>
      <c r="L28" s="186"/>
      <c r="M28" s="186"/>
      <c r="N28" s="186"/>
      <c r="O28" s="186"/>
      <c r="P28" s="186"/>
      <c r="Q28" s="187"/>
      <c r="R28" s="187"/>
      <c r="S28" s="187"/>
      <c r="T28" s="187"/>
      <c r="U28" s="187"/>
      <c r="V28" s="187"/>
    </row>
    <row r="29" spans="2:22" x14ac:dyDescent="0.2">
      <c r="B29" s="185">
        <f>B28+1</f>
        <v>14</v>
      </c>
      <c r="C29" s="194" t="s">
        <v>302</v>
      </c>
      <c r="D29" s="188" t="s">
        <v>412</v>
      </c>
      <c r="E29" s="186"/>
      <c r="F29" s="186"/>
      <c r="G29" s="186"/>
      <c r="H29" s="186"/>
      <c r="I29" s="186"/>
      <c r="J29" s="186"/>
      <c r="K29" s="186"/>
      <c r="L29" s="186"/>
      <c r="M29" s="186"/>
      <c r="N29" s="186"/>
      <c r="O29" s="186"/>
      <c r="P29" s="186"/>
      <c r="Q29" s="187"/>
      <c r="R29" s="187"/>
      <c r="S29" s="187"/>
      <c r="T29" s="187"/>
      <c r="U29" s="187"/>
      <c r="V29" s="187"/>
    </row>
    <row r="30" spans="2:22" ht="28.5" x14ac:dyDescent="0.2">
      <c r="B30" s="185">
        <f>B29+1</f>
        <v>15</v>
      </c>
      <c r="C30" s="194" t="s">
        <v>372</v>
      </c>
      <c r="D30" s="188" t="s">
        <v>412</v>
      </c>
      <c r="E30" s="186"/>
      <c r="F30" s="186"/>
      <c r="G30" s="186"/>
      <c r="H30" s="186"/>
      <c r="I30" s="186"/>
      <c r="J30" s="186"/>
      <c r="K30" s="186"/>
      <c r="L30" s="186"/>
      <c r="M30" s="186"/>
      <c r="N30" s="186"/>
      <c r="O30" s="186"/>
      <c r="P30" s="186"/>
      <c r="Q30" s="187"/>
      <c r="R30" s="187"/>
      <c r="S30" s="187"/>
      <c r="T30" s="187"/>
      <c r="U30" s="187"/>
      <c r="V30" s="187"/>
    </row>
    <row r="31" spans="2:22" x14ac:dyDescent="0.2">
      <c r="B31" s="185">
        <f>B30+1</f>
        <v>16</v>
      </c>
      <c r="C31" s="194" t="s">
        <v>303</v>
      </c>
      <c r="D31" s="188" t="s">
        <v>412</v>
      </c>
      <c r="E31" s="186">
        <f>SUM(E24:E30)</f>
        <v>5.2927999999999997</v>
      </c>
      <c r="F31" s="186">
        <f t="shared" ref="F31:V31" si="3">SUM(F24:F30)</f>
        <v>5.0602</v>
      </c>
      <c r="G31" s="186">
        <f t="shared" si="3"/>
        <v>4.0060639640000009</v>
      </c>
      <c r="H31" s="186">
        <f t="shared" si="3"/>
        <v>5.3281000000000001</v>
      </c>
      <c r="I31" s="186">
        <f t="shared" si="3"/>
        <v>7.7272999999999996</v>
      </c>
      <c r="J31" s="186">
        <f t="shared" si="3"/>
        <v>3.6414</v>
      </c>
      <c r="K31" s="186">
        <f t="shared" si="3"/>
        <v>4.8220000000000001</v>
      </c>
      <c r="L31" s="186">
        <f t="shared" si="3"/>
        <v>5.718472245900001</v>
      </c>
      <c r="M31" s="186">
        <f t="shared" si="3"/>
        <v>4.6050000000000004</v>
      </c>
      <c r="N31" s="186">
        <f t="shared" si="3"/>
        <v>5.1139999999999999</v>
      </c>
      <c r="O31" s="186">
        <f t="shared" si="3"/>
        <v>4.6330075930000003</v>
      </c>
      <c r="P31" s="186">
        <f t="shared" si="3"/>
        <v>4.7133000000000003</v>
      </c>
      <c r="Q31" s="186">
        <f t="shared" si="3"/>
        <v>3.5561210057500006</v>
      </c>
      <c r="R31" s="186">
        <f t="shared" si="3"/>
        <v>2.2901539440000001</v>
      </c>
      <c r="S31" s="186">
        <f t="shared" si="3"/>
        <v>4.7424839250500002</v>
      </c>
      <c r="T31" s="186">
        <f t="shared" si="3"/>
        <v>6.5199901490499999</v>
      </c>
      <c r="U31" s="186">
        <f t="shared" si="3"/>
        <v>2.4307859602499997</v>
      </c>
      <c r="V31" s="186">
        <f t="shared" si="3"/>
        <v>2.11095844975</v>
      </c>
    </row>
    <row r="32" spans="2:22" ht="28.5" x14ac:dyDescent="0.2">
      <c r="B32" s="185">
        <f>B31+1</f>
        <v>17</v>
      </c>
      <c r="C32" s="194" t="s">
        <v>304</v>
      </c>
      <c r="D32" s="188" t="s">
        <v>412</v>
      </c>
      <c r="E32" s="189">
        <f>E21+E31</f>
        <v>104.5428</v>
      </c>
      <c r="F32" s="189">
        <f t="shared" ref="F32:V32" si="4">F21+F31</f>
        <v>100.9688</v>
      </c>
      <c r="G32" s="189">
        <f t="shared" si="4"/>
        <v>88.629508654079203</v>
      </c>
      <c r="H32" s="189">
        <f t="shared" si="4"/>
        <v>104.44391000000002</v>
      </c>
      <c r="I32" s="189">
        <f t="shared" si="4"/>
        <v>105.4662</v>
      </c>
      <c r="J32" s="189">
        <f t="shared" si="4"/>
        <v>68.172499999999999</v>
      </c>
      <c r="K32" s="189">
        <f t="shared" si="4"/>
        <v>80.256500000000003</v>
      </c>
      <c r="L32" s="189">
        <f t="shared" si="4"/>
        <v>99.231007002875998</v>
      </c>
      <c r="M32" s="189">
        <f t="shared" si="4"/>
        <v>82.087930439879202</v>
      </c>
      <c r="N32" s="189">
        <f t="shared" si="4"/>
        <v>99.267894887554405</v>
      </c>
      <c r="O32" s="189">
        <f t="shared" si="4"/>
        <v>121.42322139920441</v>
      </c>
      <c r="P32" s="189">
        <f t="shared" si="4"/>
        <v>131.39731522269679</v>
      </c>
      <c r="Q32" s="190">
        <f t="shared" si="4"/>
        <v>67.527043725718798</v>
      </c>
      <c r="R32" s="190">
        <f t="shared" si="4"/>
        <v>55.881523132868395</v>
      </c>
      <c r="S32" s="190">
        <f t="shared" si="4"/>
        <v>82.119657641697202</v>
      </c>
      <c r="T32" s="190">
        <f t="shared" si="4"/>
        <v>80.857559124467599</v>
      </c>
      <c r="U32" s="190">
        <f t="shared" si="4"/>
        <v>42.044763902259596</v>
      </c>
      <c r="V32" s="190">
        <f t="shared" si="4"/>
        <v>28.009604905356404</v>
      </c>
    </row>
    <row r="33" spans="2:22" x14ac:dyDescent="0.2">
      <c r="B33" s="179" t="s">
        <v>305</v>
      </c>
      <c r="C33" s="198" t="s">
        <v>182</v>
      </c>
      <c r="D33" s="185"/>
      <c r="E33" s="186"/>
      <c r="F33" s="186"/>
      <c r="G33" s="186"/>
      <c r="H33" s="186"/>
      <c r="I33" s="186"/>
      <c r="J33" s="186"/>
      <c r="K33" s="186"/>
      <c r="L33" s="186"/>
      <c r="M33" s="186"/>
      <c r="N33" s="186"/>
      <c r="O33" s="186"/>
      <c r="P33" s="186"/>
      <c r="Q33" s="187"/>
      <c r="R33" s="187"/>
      <c r="S33" s="187"/>
      <c r="T33" s="187"/>
      <c r="U33" s="187"/>
      <c r="V33" s="187"/>
    </row>
    <row r="34" spans="2:22" x14ac:dyDescent="0.2">
      <c r="B34" s="185">
        <f>B32+1</f>
        <v>18</v>
      </c>
      <c r="C34" s="194" t="s">
        <v>306</v>
      </c>
      <c r="D34" s="185" t="s">
        <v>307</v>
      </c>
      <c r="E34" s="189">
        <f>IFERROR((E10+E32)/(E9+E16)*10000000,0)</f>
        <v>5691.2288238290603</v>
      </c>
      <c r="F34" s="192">
        <f t="shared" ref="F34:V34" si="5">IFERROR((F10+F32)/(F9+F16)*10000000,0)</f>
        <v>5908.3960272504573</v>
      </c>
      <c r="G34" s="189">
        <f t="shared" si="5"/>
        <v>5888.9041923848299</v>
      </c>
      <c r="H34" s="189">
        <f t="shared" si="5"/>
        <v>5820.0097054046737</v>
      </c>
      <c r="I34" s="189">
        <f t="shared" si="5"/>
        <v>5791.1036805430404</v>
      </c>
      <c r="J34" s="189">
        <f t="shared" si="5"/>
        <v>5171.3620493635945</v>
      </c>
      <c r="K34" s="189">
        <f t="shared" si="5"/>
        <v>5438.013961826864</v>
      </c>
      <c r="L34" s="189">
        <f>IFERROR((L10+L32)/(L9+L16)*10000000,0)</f>
        <v>5553.55430936022</v>
      </c>
      <c r="M34" s="189">
        <f t="shared" si="5"/>
        <v>5239.9998486309105</v>
      </c>
      <c r="N34" s="189">
        <f t="shared" si="5"/>
        <v>5398.8648545520073</v>
      </c>
      <c r="O34" s="189">
        <f>IFERROR((O10+O32)/(O9+O16)*10000000,0)</f>
        <v>5948.4687337154119</v>
      </c>
      <c r="P34" s="189">
        <f t="shared" si="5"/>
        <v>6351.1007933111405</v>
      </c>
      <c r="Q34" s="190">
        <f>IFERROR((Q10+Q32)/(Q9+Q16)*10000000,0)</f>
        <v>5651.7625376204887</v>
      </c>
      <c r="R34" s="190">
        <f t="shared" si="5"/>
        <v>5620.674416771265</v>
      </c>
      <c r="S34" s="190">
        <f>IFERROR((S10+S32)/(S9+S16)*10000000,0)</f>
        <v>6069.9678391703801</v>
      </c>
      <c r="T34" s="190">
        <f t="shared" si="5"/>
        <v>5691.07374680674</v>
      </c>
      <c r="U34" s="190">
        <f>IFERROR((U10+U32)/(U9+U16)*10000000,0)</f>
        <v>5514.302578491237</v>
      </c>
      <c r="V34" s="190">
        <f t="shared" si="5"/>
        <v>5320.3010173608427</v>
      </c>
    </row>
    <row r="35" spans="2:22" x14ac:dyDescent="0.2">
      <c r="B35" s="185">
        <f>B34+1</f>
        <v>19</v>
      </c>
      <c r="C35" s="194" t="s">
        <v>308</v>
      </c>
      <c r="D35" s="185"/>
      <c r="E35" s="186"/>
      <c r="F35" s="186"/>
      <c r="G35" s="186"/>
      <c r="H35" s="186"/>
      <c r="I35" s="186"/>
      <c r="J35" s="186"/>
      <c r="K35" s="186"/>
      <c r="L35" s="186"/>
      <c r="M35" s="186"/>
      <c r="N35" s="186"/>
      <c r="O35" s="186"/>
      <c r="P35" s="186"/>
      <c r="Q35" s="187"/>
      <c r="R35" s="187"/>
      <c r="S35" s="187"/>
      <c r="T35" s="187"/>
      <c r="U35" s="187"/>
      <c r="V35" s="187"/>
    </row>
    <row r="36" spans="2:22" x14ac:dyDescent="0.2">
      <c r="B36" s="185">
        <f>B35+1</f>
        <v>20</v>
      </c>
      <c r="C36" s="194" t="s">
        <v>309</v>
      </c>
      <c r="D36" s="185" t="s">
        <v>307</v>
      </c>
      <c r="E36" s="186"/>
      <c r="F36" s="186"/>
      <c r="G36" s="186"/>
      <c r="H36" s="186"/>
      <c r="I36" s="186"/>
      <c r="J36" s="186"/>
      <c r="K36" s="186"/>
      <c r="L36" s="186"/>
      <c r="M36" s="186"/>
      <c r="N36" s="186"/>
      <c r="O36" s="186"/>
      <c r="P36" s="186"/>
      <c r="Q36" s="187"/>
      <c r="R36" s="187"/>
      <c r="S36" s="187"/>
      <c r="T36" s="187"/>
      <c r="U36" s="187"/>
      <c r="V36" s="187"/>
    </row>
    <row r="37" spans="2:22" x14ac:dyDescent="0.2">
      <c r="B37" s="179" t="s">
        <v>310</v>
      </c>
      <c r="C37" s="198" t="s">
        <v>311</v>
      </c>
      <c r="D37" s="185"/>
      <c r="E37" s="186"/>
      <c r="F37" s="186"/>
      <c r="G37" s="186"/>
      <c r="H37" s="186"/>
      <c r="I37" s="186"/>
      <c r="J37" s="186"/>
      <c r="K37" s="186"/>
      <c r="L37" s="186"/>
      <c r="M37" s="186"/>
      <c r="N37" s="186"/>
      <c r="O37" s="186"/>
      <c r="P37" s="186"/>
      <c r="Q37" s="187"/>
      <c r="R37" s="187"/>
      <c r="S37" s="187"/>
      <c r="T37" s="187"/>
      <c r="U37" s="187"/>
      <c r="V37" s="187"/>
    </row>
    <row r="38" spans="2:22" ht="28.5" x14ac:dyDescent="0.2">
      <c r="B38" s="185">
        <f>B36+1</f>
        <v>21</v>
      </c>
      <c r="C38" s="194" t="s">
        <v>371</v>
      </c>
      <c r="D38" s="185" t="s">
        <v>312</v>
      </c>
      <c r="E38" s="186"/>
      <c r="F38" s="186"/>
      <c r="G38" s="186"/>
      <c r="H38" s="186"/>
      <c r="I38" s="186"/>
      <c r="J38" s="186"/>
      <c r="K38" s="186"/>
      <c r="L38" s="186"/>
      <c r="M38" s="186"/>
      <c r="N38" s="186"/>
      <c r="O38" s="186"/>
      <c r="P38" s="186"/>
      <c r="Q38" s="187"/>
      <c r="R38" s="187"/>
      <c r="S38" s="187"/>
      <c r="T38" s="187"/>
      <c r="U38" s="187"/>
      <c r="V38" s="187"/>
    </row>
    <row r="39" spans="2:22" ht="28.5" x14ac:dyDescent="0.2">
      <c r="B39" s="185">
        <f>B38+1</f>
        <v>22</v>
      </c>
      <c r="C39" s="194" t="s">
        <v>313</v>
      </c>
      <c r="D39" s="185" t="s">
        <v>312</v>
      </c>
      <c r="E39" s="186"/>
      <c r="F39" s="186"/>
      <c r="G39" s="186"/>
      <c r="H39" s="186"/>
      <c r="I39" s="186"/>
      <c r="J39" s="186"/>
      <c r="K39" s="186"/>
      <c r="L39" s="186"/>
      <c r="M39" s="186"/>
      <c r="N39" s="186"/>
      <c r="O39" s="186"/>
      <c r="P39" s="186"/>
      <c r="Q39" s="187"/>
      <c r="R39" s="187"/>
      <c r="S39" s="187"/>
      <c r="T39" s="187"/>
      <c r="U39" s="187"/>
      <c r="V39" s="187"/>
    </row>
    <row r="40" spans="2:22" ht="28.5" x14ac:dyDescent="0.2">
      <c r="B40" s="185">
        <f t="shared" ref="B40:B47" si="6">B39+1</f>
        <v>23</v>
      </c>
      <c r="C40" s="194" t="s">
        <v>370</v>
      </c>
      <c r="D40" s="185" t="s">
        <v>312</v>
      </c>
      <c r="E40" s="186"/>
      <c r="F40" s="186"/>
      <c r="G40" s="186"/>
      <c r="H40" s="186"/>
      <c r="I40" s="186"/>
      <c r="J40" s="186"/>
      <c r="K40" s="186"/>
      <c r="L40" s="186"/>
      <c r="M40" s="186"/>
      <c r="N40" s="186"/>
      <c r="O40" s="186"/>
      <c r="P40" s="186"/>
      <c r="Q40" s="187"/>
      <c r="R40" s="187"/>
      <c r="S40" s="187"/>
      <c r="T40" s="187"/>
      <c r="U40" s="187"/>
      <c r="V40" s="187"/>
    </row>
    <row r="41" spans="2:22" x14ac:dyDescent="0.2">
      <c r="B41" s="185">
        <f t="shared" si="6"/>
        <v>24</v>
      </c>
      <c r="C41" s="194" t="s">
        <v>314</v>
      </c>
      <c r="D41" s="185" t="s">
        <v>312</v>
      </c>
      <c r="E41" s="186"/>
      <c r="F41" s="186"/>
      <c r="G41" s="186"/>
      <c r="H41" s="186"/>
      <c r="I41" s="186"/>
      <c r="J41" s="186"/>
      <c r="K41" s="186"/>
      <c r="L41" s="186"/>
      <c r="M41" s="186"/>
      <c r="N41" s="186"/>
      <c r="O41" s="186"/>
      <c r="P41" s="186"/>
      <c r="Q41" s="187"/>
      <c r="R41" s="187"/>
      <c r="S41" s="187"/>
      <c r="T41" s="187"/>
      <c r="U41" s="187"/>
      <c r="V41" s="187"/>
    </row>
    <row r="42" spans="2:22" x14ac:dyDescent="0.25">
      <c r="B42" s="185">
        <f t="shared" si="6"/>
        <v>25</v>
      </c>
      <c r="C42" s="194" t="s">
        <v>315</v>
      </c>
      <c r="D42" s="185" t="s">
        <v>312</v>
      </c>
      <c r="E42" s="195">
        <v>4147</v>
      </c>
      <c r="F42" s="195">
        <v>4191</v>
      </c>
      <c r="G42" s="195">
        <v>4214</v>
      </c>
      <c r="H42" s="195">
        <v>4043</v>
      </c>
      <c r="I42" s="195">
        <v>4210</v>
      </c>
      <c r="J42" s="195">
        <v>3435</v>
      </c>
      <c r="K42" s="195">
        <v>3896</v>
      </c>
      <c r="L42" s="195">
        <v>4020</v>
      </c>
      <c r="M42" s="195">
        <v>3834</v>
      </c>
      <c r="N42" s="195">
        <v>3899</v>
      </c>
      <c r="O42" s="195">
        <v>4262</v>
      </c>
      <c r="P42" s="195">
        <v>4561</v>
      </c>
      <c r="Q42" s="196">
        <v>3463</v>
      </c>
      <c r="R42" s="196">
        <v>3987</v>
      </c>
      <c r="S42" s="196">
        <v>4417</v>
      </c>
      <c r="T42" s="196">
        <v>3976</v>
      </c>
      <c r="U42" s="196">
        <v>3810</v>
      </c>
      <c r="V42" s="196">
        <v>3920</v>
      </c>
    </row>
    <row r="43" spans="2:22" ht="28.5" x14ac:dyDescent="0.2">
      <c r="B43" s="185">
        <f t="shared" si="6"/>
        <v>26</v>
      </c>
      <c r="C43" s="194" t="s">
        <v>369</v>
      </c>
      <c r="D43" s="185" t="s">
        <v>312</v>
      </c>
      <c r="E43" s="186">
        <v>3627</v>
      </c>
      <c r="F43" s="186">
        <v>3733.0115139667337</v>
      </c>
      <c r="G43" s="186">
        <v>3840.1468965974909</v>
      </c>
      <c r="H43" s="186">
        <v>3756.3515011983154</v>
      </c>
      <c r="I43" s="186">
        <v>3713.5205141315037</v>
      </c>
      <c r="J43" s="186">
        <v>3717.5588866213216</v>
      </c>
      <c r="K43" s="186">
        <v>3398.1426771339093</v>
      </c>
      <c r="L43" s="186">
        <v>3419.8658165277047</v>
      </c>
      <c r="M43" s="186">
        <v>3513.2987646129095</v>
      </c>
      <c r="N43" s="186">
        <v>3542.4367442708444</v>
      </c>
      <c r="O43" s="186">
        <v>3520.9518180539317</v>
      </c>
      <c r="P43" s="186">
        <v>3739.1224771487223</v>
      </c>
      <c r="Q43" s="187"/>
      <c r="R43" s="187"/>
      <c r="S43" s="187"/>
      <c r="T43" s="187"/>
      <c r="U43" s="187"/>
      <c r="V43" s="187"/>
    </row>
    <row r="44" spans="2:22" x14ac:dyDescent="0.2">
      <c r="B44" s="185">
        <f t="shared" si="6"/>
        <v>27</v>
      </c>
      <c r="C44" s="194" t="s">
        <v>316</v>
      </c>
      <c r="D44" s="185" t="s">
        <v>312</v>
      </c>
      <c r="E44" s="186">
        <v>3747</v>
      </c>
      <c r="F44" s="186">
        <v>3862</v>
      </c>
      <c r="G44" s="186">
        <v>3732</v>
      </c>
      <c r="H44" s="186">
        <v>3703</v>
      </c>
      <c r="I44" s="186">
        <v>3719</v>
      </c>
      <c r="J44" s="186">
        <v>3198</v>
      </c>
      <c r="K44" s="186">
        <v>3430</v>
      </c>
      <c r="L44" s="186">
        <v>3542</v>
      </c>
      <c r="M44" s="186">
        <v>3557</v>
      </c>
      <c r="N44" s="186">
        <v>3511</v>
      </c>
      <c r="O44" s="186">
        <v>3854</v>
      </c>
      <c r="P44" s="186">
        <v>4132</v>
      </c>
      <c r="Q44" s="187"/>
      <c r="R44" s="187"/>
      <c r="S44" s="187"/>
      <c r="T44" s="187"/>
      <c r="U44" s="187"/>
      <c r="V44" s="187"/>
    </row>
    <row r="45" spans="2:22" ht="28.5" x14ac:dyDescent="0.2">
      <c r="B45" s="185">
        <f t="shared" si="6"/>
        <v>28</v>
      </c>
      <c r="C45" s="194" t="s">
        <v>317</v>
      </c>
      <c r="D45" s="185" t="s">
        <v>312</v>
      </c>
      <c r="E45" s="186"/>
      <c r="F45" s="186"/>
      <c r="G45" s="186"/>
      <c r="H45" s="186"/>
      <c r="I45" s="186"/>
      <c r="J45" s="186"/>
      <c r="K45" s="186"/>
      <c r="L45" s="186"/>
      <c r="M45" s="186"/>
      <c r="N45" s="186"/>
      <c r="O45" s="186"/>
      <c r="P45" s="186"/>
      <c r="Q45" s="187"/>
      <c r="R45" s="187"/>
      <c r="S45" s="187"/>
      <c r="T45" s="187"/>
      <c r="U45" s="187"/>
      <c r="V45" s="187"/>
    </row>
    <row r="46" spans="2:22" ht="28.5" x14ac:dyDescent="0.2">
      <c r="B46" s="185">
        <f t="shared" si="6"/>
        <v>29</v>
      </c>
      <c r="C46" s="194" t="s">
        <v>317</v>
      </c>
      <c r="D46" s="185" t="s">
        <v>312</v>
      </c>
      <c r="E46" s="186"/>
      <c r="F46" s="186"/>
      <c r="G46" s="186"/>
      <c r="H46" s="186"/>
      <c r="I46" s="186"/>
      <c r="J46" s="186"/>
      <c r="K46" s="186"/>
      <c r="L46" s="186"/>
      <c r="M46" s="186"/>
      <c r="N46" s="186"/>
      <c r="O46" s="186"/>
      <c r="P46" s="186"/>
      <c r="Q46" s="187"/>
      <c r="R46" s="187"/>
      <c r="S46" s="187"/>
      <c r="T46" s="187"/>
      <c r="U46" s="187"/>
      <c r="V46" s="187"/>
    </row>
    <row r="47" spans="2:22" s="197" customFormat="1" x14ac:dyDescent="0.25">
      <c r="B47" s="179">
        <f t="shared" si="6"/>
        <v>30</v>
      </c>
      <c r="C47" s="198" t="s">
        <v>318</v>
      </c>
      <c r="D47" s="179" t="s">
        <v>312</v>
      </c>
      <c r="E47" s="199">
        <v>3733.0115139667337</v>
      </c>
      <c r="F47" s="199">
        <v>3840.1468965974909</v>
      </c>
      <c r="G47" s="199">
        <v>3756.3515011983154</v>
      </c>
      <c r="H47" s="199">
        <v>3713.5205141315037</v>
      </c>
      <c r="I47" s="199">
        <v>3717.5588866213216</v>
      </c>
      <c r="J47" s="199">
        <v>3398.1426771339093</v>
      </c>
      <c r="K47" s="199">
        <v>3419.8658165277047</v>
      </c>
      <c r="L47" s="199">
        <v>3513.2987646129095</v>
      </c>
      <c r="M47" s="199">
        <v>3542.4367442708444</v>
      </c>
      <c r="N47" s="199">
        <v>3520.9518180539317</v>
      </c>
      <c r="O47" s="199">
        <v>3739.1224771487223</v>
      </c>
      <c r="P47" s="199">
        <v>3970.7040398427721</v>
      </c>
      <c r="Q47" s="200">
        <v>3718</v>
      </c>
      <c r="R47" s="201">
        <v>2815</v>
      </c>
      <c r="S47" s="200">
        <v>3670</v>
      </c>
      <c r="T47" s="201">
        <v>3885</v>
      </c>
      <c r="U47" s="200">
        <v>3400</v>
      </c>
      <c r="V47" s="200">
        <v>3268</v>
      </c>
    </row>
    <row r="48" spans="2:22" x14ac:dyDescent="0.2">
      <c r="B48" s="197" t="s">
        <v>232</v>
      </c>
    </row>
    <row r="49" spans="2:22" ht="17.25" customHeight="1" x14ac:dyDescent="0.2">
      <c r="B49" s="177">
        <v>1</v>
      </c>
      <c r="C49" s="339" t="s">
        <v>319</v>
      </c>
      <c r="D49" s="339"/>
      <c r="E49" s="339"/>
      <c r="F49" s="339"/>
      <c r="G49" s="339"/>
      <c r="H49" s="339"/>
      <c r="I49" s="339"/>
      <c r="J49" s="339"/>
      <c r="K49" s="339"/>
      <c r="L49" s="339"/>
      <c r="M49" s="339"/>
      <c r="N49" s="339"/>
      <c r="O49" s="339"/>
      <c r="P49" s="339"/>
      <c r="Q49" s="339"/>
      <c r="R49" s="339"/>
      <c r="S49" s="339"/>
      <c r="T49" s="339"/>
      <c r="U49" s="339"/>
      <c r="V49" s="339"/>
    </row>
    <row r="50" spans="2:22" ht="17.25" customHeight="1" x14ac:dyDescent="0.2">
      <c r="B50" s="177">
        <f>B49+1</f>
        <v>2</v>
      </c>
      <c r="C50" s="339" t="s">
        <v>320</v>
      </c>
      <c r="D50" s="339"/>
      <c r="E50" s="339"/>
      <c r="F50" s="339"/>
      <c r="G50" s="339"/>
      <c r="H50" s="339"/>
      <c r="I50" s="339"/>
      <c r="J50" s="339"/>
      <c r="K50" s="339"/>
      <c r="L50" s="339"/>
      <c r="M50" s="339"/>
      <c r="N50" s="339"/>
      <c r="O50" s="339"/>
      <c r="P50" s="339"/>
      <c r="Q50" s="339"/>
      <c r="R50" s="339"/>
      <c r="S50" s="339"/>
      <c r="T50" s="339"/>
      <c r="U50" s="339"/>
      <c r="V50" s="339"/>
    </row>
    <row r="51" spans="2:22" ht="17.25" customHeight="1" x14ac:dyDescent="0.2">
      <c r="B51" s="177">
        <f>B50+1</f>
        <v>3</v>
      </c>
      <c r="C51" s="339" t="s">
        <v>321</v>
      </c>
      <c r="D51" s="339"/>
      <c r="E51" s="339"/>
      <c r="F51" s="339"/>
      <c r="G51" s="339"/>
      <c r="H51" s="339"/>
      <c r="I51" s="339"/>
      <c r="J51" s="339"/>
      <c r="K51" s="339"/>
      <c r="L51" s="339"/>
      <c r="M51" s="339"/>
      <c r="N51" s="339"/>
      <c r="O51" s="339"/>
      <c r="P51" s="339"/>
      <c r="Q51" s="339"/>
      <c r="R51" s="339"/>
      <c r="S51" s="339"/>
      <c r="T51" s="339"/>
      <c r="U51" s="339"/>
      <c r="V51" s="339"/>
    </row>
    <row r="52" spans="2:22" ht="17.25" customHeight="1" x14ac:dyDescent="0.2">
      <c r="B52" s="177">
        <f>B51+1</f>
        <v>4</v>
      </c>
      <c r="C52" s="339" t="s">
        <v>322</v>
      </c>
      <c r="D52" s="339"/>
      <c r="E52" s="339"/>
      <c r="F52" s="339"/>
      <c r="G52" s="339"/>
      <c r="H52" s="339"/>
      <c r="I52" s="339"/>
      <c r="J52" s="339"/>
      <c r="K52" s="339"/>
      <c r="L52" s="339"/>
      <c r="M52" s="339"/>
      <c r="N52" s="339"/>
      <c r="O52" s="339"/>
      <c r="P52" s="339"/>
      <c r="Q52" s="339"/>
      <c r="R52" s="339"/>
      <c r="S52" s="339"/>
      <c r="T52" s="339"/>
      <c r="U52" s="339"/>
      <c r="V52" s="339"/>
    </row>
  </sheetData>
  <mergeCells count="9">
    <mergeCell ref="C51:V51"/>
    <mergeCell ref="C52:V52"/>
    <mergeCell ref="E6:P6"/>
    <mergeCell ref="Q6:V6"/>
    <mergeCell ref="B6:B7"/>
    <mergeCell ref="C6:C7"/>
    <mergeCell ref="D6:D7"/>
    <mergeCell ref="C49:V49"/>
    <mergeCell ref="C50:V50"/>
  </mergeCells>
  <phoneticPr fontId="14" type="noConversion"/>
  <pageMargins left="0.2" right="0.2" top="0.25" bottom="0.25" header="0.3" footer="0.3"/>
  <pageSetup paperSize="9" scale="4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N53"/>
  <sheetViews>
    <sheetView view="pageBreakPreview" topLeftCell="A26" zoomScale="79" zoomScaleSheetLayoutView="79" workbookViewId="0">
      <selection activeCell="D47" sqref="D47"/>
    </sheetView>
  </sheetViews>
  <sheetFormatPr defaultRowHeight="12.75" x14ac:dyDescent="0.2"/>
  <cols>
    <col min="1" max="1" width="2.140625" customWidth="1"/>
    <col min="2" max="2" width="8.85546875" customWidth="1"/>
    <col min="3" max="3" width="65.28515625" customWidth="1"/>
    <col min="5" max="5" width="11.7109375" style="202" customWidth="1"/>
    <col min="6" max="6" width="10.7109375" style="202" customWidth="1"/>
    <col min="7" max="7" width="12" style="202" customWidth="1"/>
    <col min="8" max="8" width="11.42578125" style="202" customWidth="1"/>
    <col min="9" max="9" width="11.140625" style="202" customWidth="1"/>
    <col min="10" max="10" width="11.5703125" style="202" customWidth="1"/>
    <col min="11" max="11" width="11.140625" style="202" customWidth="1"/>
    <col min="12" max="12" width="12" style="202" customWidth="1"/>
    <col min="13" max="13" width="11.28515625" style="202" customWidth="1"/>
    <col min="14" max="14" width="11.140625" style="202" customWidth="1"/>
    <col min="15" max="15" width="11.42578125" style="202" customWidth="1"/>
    <col min="16" max="16" width="10.5703125" style="202" customWidth="1"/>
    <col min="17" max="17" width="10.85546875" style="202" customWidth="1"/>
    <col min="18" max="18" width="10.7109375" style="202" customWidth="1"/>
    <col min="19" max="19" width="11.42578125" style="202" customWidth="1"/>
    <col min="20" max="20" width="12" style="202" customWidth="1"/>
    <col min="21" max="21" width="12.140625" style="202" customWidth="1"/>
    <col min="22" max="22" width="10.7109375" style="202" customWidth="1"/>
    <col min="23" max="23" width="12" style="202" customWidth="1"/>
    <col min="24" max="24" width="11.28515625" style="202" customWidth="1"/>
    <col min="25" max="26" width="11.85546875" style="202" customWidth="1"/>
    <col min="27" max="27" width="10.42578125" style="202" customWidth="1"/>
    <col min="28" max="28" width="11.42578125" style="202" customWidth="1"/>
    <col min="29" max="40" width="10.85546875" customWidth="1"/>
  </cols>
  <sheetData>
    <row r="2" spans="2:40" ht="16.5" x14ac:dyDescent="0.2">
      <c r="B2" s="342" t="s">
        <v>409</v>
      </c>
      <c r="C2" s="342"/>
      <c r="D2" s="342"/>
      <c r="E2" s="342"/>
      <c r="F2" s="342"/>
      <c r="G2" s="342"/>
      <c r="H2" s="342"/>
      <c r="I2" s="342"/>
      <c r="J2" s="342"/>
      <c r="K2" s="342"/>
      <c r="L2" s="342"/>
      <c r="M2" s="342"/>
      <c r="N2" s="342"/>
      <c r="O2" s="342"/>
      <c r="P2" s="342"/>
      <c r="Q2" s="342"/>
      <c r="R2" s="342"/>
      <c r="S2" s="342"/>
      <c r="T2" s="342"/>
      <c r="U2" s="342"/>
      <c r="V2" s="342"/>
    </row>
    <row r="3" spans="2:40" ht="16.5" x14ac:dyDescent="0.2">
      <c r="B3" s="342" t="s">
        <v>457</v>
      </c>
      <c r="C3" s="342"/>
      <c r="D3" s="342"/>
      <c r="E3" s="342"/>
      <c r="F3" s="342"/>
      <c r="G3" s="342"/>
      <c r="H3" s="342"/>
      <c r="I3" s="342"/>
      <c r="J3" s="342"/>
      <c r="K3" s="342"/>
      <c r="L3" s="342"/>
      <c r="M3" s="342"/>
      <c r="N3" s="342"/>
      <c r="O3" s="342"/>
      <c r="P3" s="342"/>
      <c r="Q3" s="342"/>
      <c r="R3" s="342"/>
      <c r="S3" s="342"/>
      <c r="T3" s="342"/>
      <c r="U3" s="342"/>
      <c r="V3" s="342"/>
    </row>
    <row r="4" spans="2:40" ht="16.5" x14ac:dyDescent="0.2">
      <c r="B4" s="343" t="s">
        <v>324</v>
      </c>
      <c r="C4" s="343"/>
      <c r="D4" s="343"/>
      <c r="E4" s="343"/>
      <c r="F4" s="343"/>
      <c r="G4" s="343"/>
      <c r="H4" s="343"/>
      <c r="I4" s="343"/>
      <c r="J4" s="343"/>
      <c r="K4" s="343"/>
      <c r="L4" s="343"/>
      <c r="M4" s="343"/>
      <c r="N4" s="343"/>
      <c r="O4" s="343"/>
      <c r="P4" s="343"/>
      <c r="Q4" s="343"/>
      <c r="R4" s="343"/>
      <c r="S4" s="343"/>
      <c r="T4" s="343"/>
      <c r="U4" s="343"/>
      <c r="V4" s="343"/>
    </row>
    <row r="6" spans="2:40" ht="15" x14ac:dyDescent="0.2">
      <c r="B6" s="340" t="s">
        <v>186</v>
      </c>
      <c r="C6" s="340" t="s">
        <v>14</v>
      </c>
      <c r="D6" s="340" t="s">
        <v>35</v>
      </c>
      <c r="E6" s="344">
        <v>45383</v>
      </c>
      <c r="F6" s="345"/>
      <c r="G6" s="344">
        <v>45413</v>
      </c>
      <c r="H6" s="345"/>
      <c r="I6" s="344">
        <v>45444</v>
      </c>
      <c r="J6" s="345"/>
      <c r="K6" s="344">
        <v>45474</v>
      </c>
      <c r="L6" s="345"/>
      <c r="M6" s="344">
        <v>45505</v>
      </c>
      <c r="N6" s="345"/>
      <c r="O6" s="344">
        <v>45536</v>
      </c>
      <c r="P6" s="345"/>
      <c r="Q6" s="344">
        <v>45566</v>
      </c>
      <c r="R6" s="345"/>
      <c r="S6" s="344">
        <v>45597</v>
      </c>
      <c r="T6" s="345"/>
      <c r="U6" s="344">
        <v>45627</v>
      </c>
      <c r="V6" s="345"/>
      <c r="W6" s="344">
        <v>45658</v>
      </c>
      <c r="X6" s="345"/>
      <c r="Y6" s="344">
        <v>45689</v>
      </c>
      <c r="Z6" s="345"/>
      <c r="AA6" s="344">
        <v>45717</v>
      </c>
      <c r="AB6" s="345"/>
      <c r="AC6" s="344">
        <v>45748</v>
      </c>
      <c r="AD6" s="345"/>
      <c r="AE6" s="344">
        <v>45778</v>
      </c>
      <c r="AF6" s="345"/>
      <c r="AG6" s="344">
        <v>45809</v>
      </c>
      <c r="AH6" s="345"/>
      <c r="AI6" s="344">
        <v>45839</v>
      </c>
      <c r="AJ6" s="345"/>
      <c r="AK6" s="344">
        <v>45870</v>
      </c>
      <c r="AL6" s="345"/>
      <c r="AM6" s="344">
        <v>45901</v>
      </c>
      <c r="AN6" s="345"/>
    </row>
    <row r="7" spans="2:40" ht="15" x14ac:dyDescent="0.2">
      <c r="B7" s="340"/>
      <c r="C7" s="340"/>
      <c r="D7" s="340"/>
      <c r="E7" s="203" t="s">
        <v>458</v>
      </c>
      <c r="F7" s="203" t="s">
        <v>459</v>
      </c>
      <c r="G7" s="203" t="s">
        <v>458</v>
      </c>
      <c r="H7" s="203" t="s">
        <v>459</v>
      </c>
      <c r="I7" s="203" t="s">
        <v>458</v>
      </c>
      <c r="J7" s="203" t="s">
        <v>459</v>
      </c>
      <c r="K7" s="203" t="s">
        <v>458</v>
      </c>
      <c r="L7" s="203" t="s">
        <v>459</v>
      </c>
      <c r="M7" s="203" t="s">
        <v>458</v>
      </c>
      <c r="N7" s="203" t="s">
        <v>459</v>
      </c>
      <c r="O7" s="203" t="s">
        <v>458</v>
      </c>
      <c r="P7" s="203" t="s">
        <v>459</v>
      </c>
      <c r="Q7" s="203" t="s">
        <v>458</v>
      </c>
      <c r="R7" s="203" t="s">
        <v>459</v>
      </c>
      <c r="S7" s="203" t="s">
        <v>458</v>
      </c>
      <c r="T7" s="203" t="s">
        <v>459</v>
      </c>
      <c r="U7" s="203" t="s">
        <v>458</v>
      </c>
      <c r="V7" s="203" t="s">
        <v>459</v>
      </c>
      <c r="W7" s="203" t="s">
        <v>458</v>
      </c>
      <c r="X7" s="203" t="s">
        <v>459</v>
      </c>
      <c r="Y7" s="203" t="s">
        <v>458</v>
      </c>
      <c r="Z7" s="203" t="s">
        <v>459</v>
      </c>
      <c r="AA7" s="203" t="s">
        <v>458</v>
      </c>
      <c r="AB7" s="203" t="s">
        <v>459</v>
      </c>
      <c r="AC7" s="204" t="s">
        <v>458</v>
      </c>
      <c r="AD7" s="204" t="s">
        <v>459</v>
      </c>
      <c r="AE7" s="204" t="s">
        <v>458</v>
      </c>
      <c r="AF7" s="204" t="s">
        <v>459</v>
      </c>
      <c r="AG7" s="204" t="s">
        <v>458</v>
      </c>
      <c r="AH7" s="204" t="s">
        <v>459</v>
      </c>
      <c r="AI7" s="204" t="s">
        <v>458</v>
      </c>
      <c r="AJ7" s="204" t="s">
        <v>459</v>
      </c>
      <c r="AK7" s="204" t="s">
        <v>458</v>
      </c>
      <c r="AL7" s="204" t="s">
        <v>459</v>
      </c>
      <c r="AM7" s="204" t="s">
        <v>458</v>
      </c>
      <c r="AN7" s="204" t="s">
        <v>459</v>
      </c>
    </row>
    <row r="8" spans="2:40" ht="15" x14ac:dyDescent="0.2">
      <c r="B8" s="179" t="s">
        <v>62</v>
      </c>
      <c r="C8" s="181" t="s">
        <v>281</v>
      </c>
      <c r="D8" s="185"/>
      <c r="E8" s="205"/>
      <c r="F8" s="205"/>
      <c r="G8" s="205"/>
      <c r="H8" s="205"/>
      <c r="I8" s="205"/>
      <c r="J8" s="205"/>
      <c r="K8" s="205"/>
      <c r="L8" s="205"/>
      <c r="M8" s="205"/>
      <c r="N8" s="205"/>
      <c r="O8" s="205"/>
      <c r="P8" s="205"/>
      <c r="Q8" s="205"/>
      <c r="R8" s="205"/>
      <c r="S8" s="205"/>
      <c r="T8" s="205"/>
      <c r="U8" s="205"/>
      <c r="V8" s="205"/>
      <c r="W8" s="155"/>
      <c r="X8" s="155"/>
      <c r="Y8" s="155"/>
      <c r="Z8" s="155"/>
      <c r="AA8" s="155"/>
      <c r="AB8" s="155"/>
      <c r="AC8" s="206"/>
      <c r="AD8" s="206"/>
      <c r="AE8" s="206"/>
      <c r="AF8" s="206"/>
      <c r="AG8" s="206"/>
      <c r="AH8" s="206"/>
      <c r="AI8" s="206"/>
      <c r="AJ8" s="206"/>
      <c r="AK8" s="206"/>
      <c r="AL8" s="206"/>
      <c r="AM8" s="206"/>
      <c r="AN8" s="206"/>
    </row>
    <row r="9" spans="2:40" ht="15" x14ac:dyDescent="0.2">
      <c r="B9" s="185">
        <v>1</v>
      </c>
      <c r="C9" s="184" t="s">
        <v>410</v>
      </c>
      <c r="D9" s="188" t="s">
        <v>411</v>
      </c>
      <c r="E9" s="281">
        <v>1735.7490000000005</v>
      </c>
      <c r="F9" s="281">
        <v>141.66100000000009</v>
      </c>
      <c r="G9" s="281">
        <v>1958.6120000000005</v>
      </c>
      <c r="H9" s="281">
        <v>137.49500000000009</v>
      </c>
      <c r="I9" s="281">
        <v>1811.0880000000006</v>
      </c>
      <c r="J9" s="281">
        <v>127.49600000000009</v>
      </c>
      <c r="K9" s="281">
        <v>1428.1540000000007</v>
      </c>
      <c r="L9" s="281">
        <v>112.49600000000009</v>
      </c>
      <c r="M9" s="281">
        <v>1406.1820000000007</v>
      </c>
      <c r="N9" s="281">
        <v>112.49600000000009</v>
      </c>
      <c r="O9" s="281">
        <v>1569.4000000000008</v>
      </c>
      <c r="P9" s="281">
        <v>161.66000000000008</v>
      </c>
      <c r="Q9" s="281">
        <v>1688.6750000000006</v>
      </c>
      <c r="R9" s="281">
        <v>139.16100000000009</v>
      </c>
      <c r="S9" s="281">
        <v>1616.4820000000007</v>
      </c>
      <c r="T9" s="281">
        <v>134.16100000000009</v>
      </c>
      <c r="U9" s="281">
        <v>1468.9590000000007</v>
      </c>
      <c r="V9" s="281">
        <v>127.49500000000009</v>
      </c>
      <c r="W9" s="283">
        <v>1368.5170000000007</v>
      </c>
      <c r="X9" s="283">
        <v>124.16200000000009</v>
      </c>
      <c r="Y9" s="283">
        <v>1581.9550000000008</v>
      </c>
      <c r="Z9" s="283">
        <v>114.16200000000009</v>
      </c>
      <c r="AA9" s="283">
        <v>1462.6810000000009</v>
      </c>
      <c r="AB9" s="283">
        <v>111.66200000000009</v>
      </c>
      <c r="AC9" s="282">
        <v>1877.0020000000011</v>
      </c>
      <c r="AD9" s="282">
        <v>111.66200000000009</v>
      </c>
      <c r="AE9" s="282">
        <v>1836.198000000001</v>
      </c>
      <c r="AF9" s="282">
        <v>105.82900000000009</v>
      </c>
      <c r="AG9" s="282">
        <v>1901.131000000001</v>
      </c>
      <c r="AH9" s="282">
        <v>102.49600000000009</v>
      </c>
      <c r="AI9" s="282">
        <v>1867.7410000000011</v>
      </c>
      <c r="AJ9" s="282">
        <v>113.3360000000001</v>
      </c>
      <c r="AK9" s="282">
        <v>1921.0030000000008</v>
      </c>
      <c r="AL9" s="282">
        <v>125.00200000000009</v>
      </c>
      <c r="AM9" s="282">
        <v>2050.324000000001</v>
      </c>
      <c r="AN9" s="282">
        <v>128.80200000000008</v>
      </c>
    </row>
    <row r="10" spans="2:40" ht="15" x14ac:dyDescent="0.2">
      <c r="B10" s="185">
        <v>2</v>
      </c>
      <c r="C10" s="184" t="s">
        <v>283</v>
      </c>
      <c r="D10" s="188" t="s">
        <v>412</v>
      </c>
      <c r="E10" s="281">
        <v>10.516794117383499</v>
      </c>
      <c r="F10" s="281">
        <v>1.1454710804717398</v>
      </c>
      <c r="G10" s="281">
        <v>11.967493196477529</v>
      </c>
      <c r="H10" s="281">
        <v>1.11178479757634</v>
      </c>
      <c r="I10" s="281">
        <v>11.066093395844657</v>
      </c>
      <c r="J10" s="281">
        <v>1.0309328670263869</v>
      </c>
      <c r="K10" s="281">
        <v>8.7262935581535146</v>
      </c>
      <c r="L10" s="281">
        <v>0.9096428421989744</v>
      </c>
      <c r="M10" s="281">
        <v>8.5920404439517206</v>
      </c>
      <c r="N10" s="281">
        <v>0.9096428421989744</v>
      </c>
      <c r="O10" s="281">
        <v>9.8101832889415483</v>
      </c>
      <c r="P10" s="281">
        <v>1.2793916001343786</v>
      </c>
      <c r="Q10" s="281">
        <v>10.470761763724315</v>
      </c>
      <c r="R10" s="281">
        <v>1.1013325155653859</v>
      </c>
      <c r="S10" s="281">
        <v>10.023123405835111</v>
      </c>
      <c r="T10" s="281">
        <v>1.0617620714192031</v>
      </c>
      <c r="U10" s="281">
        <v>9.1083954755525518</v>
      </c>
      <c r="V10" s="281">
        <v>1.0090067552835125</v>
      </c>
      <c r="W10" s="283">
        <v>8.4855969778712339</v>
      </c>
      <c r="X10" s="283">
        <v>0.98262909721566716</v>
      </c>
      <c r="Y10" s="283">
        <v>9.786332908015547</v>
      </c>
      <c r="Z10" s="283">
        <v>0.90348820892330184</v>
      </c>
      <c r="AA10" s="283">
        <v>9.0484768556811606</v>
      </c>
      <c r="AB10" s="283">
        <v>0.88370298685021043</v>
      </c>
      <c r="AC10" s="282">
        <v>11.7318649390103</v>
      </c>
      <c r="AD10" s="282">
        <v>0.88370298685021009</v>
      </c>
      <c r="AE10" s="282">
        <v>11.476826842635669</v>
      </c>
      <c r="AF10" s="282">
        <v>0.83754010670927348</v>
      </c>
      <c r="AG10" s="282">
        <v>11.806872793200268</v>
      </c>
      <c r="AH10" s="282">
        <v>0.81116244864142817</v>
      </c>
      <c r="AI10" s="282">
        <v>11.492760726709182</v>
      </c>
      <c r="AJ10" s="282">
        <v>0.8606657921435874</v>
      </c>
      <c r="AK10" s="282">
        <v>11.800573399277251</v>
      </c>
      <c r="AL10" s="282">
        <v>0.9430595518293744</v>
      </c>
      <c r="AM10" s="282">
        <v>12.535735760697744</v>
      </c>
      <c r="AN10" s="282">
        <v>0.97337498134048506</v>
      </c>
    </row>
    <row r="11" spans="2:40" ht="15" x14ac:dyDescent="0.2">
      <c r="B11" s="179" t="s">
        <v>66</v>
      </c>
      <c r="C11" s="181" t="s">
        <v>285</v>
      </c>
      <c r="D11" s="188"/>
      <c r="E11" s="281"/>
      <c r="F11" s="281"/>
      <c r="G11" s="281"/>
      <c r="H11" s="281"/>
      <c r="I11" s="281"/>
      <c r="J11" s="281"/>
      <c r="K11" s="281"/>
      <c r="L11" s="281"/>
      <c r="M11" s="281"/>
      <c r="N11" s="281"/>
      <c r="O11" s="281"/>
      <c r="P11" s="281"/>
      <c r="Q11" s="281"/>
      <c r="R11" s="281"/>
      <c r="S11" s="281"/>
      <c r="T11" s="281"/>
      <c r="U11" s="281"/>
      <c r="V11" s="281"/>
      <c r="W11" s="283"/>
      <c r="X11" s="283"/>
      <c r="Y11" s="283"/>
      <c r="Z11" s="283"/>
      <c r="AA11" s="283"/>
      <c r="AB11" s="283"/>
      <c r="AC11" s="282"/>
      <c r="AD11" s="282"/>
      <c r="AE11" s="282"/>
      <c r="AF11" s="282"/>
      <c r="AG11" s="282"/>
      <c r="AH11" s="282"/>
      <c r="AI11" s="282"/>
      <c r="AJ11" s="282"/>
      <c r="AK11" s="282"/>
      <c r="AL11" s="282"/>
      <c r="AM11" s="282"/>
      <c r="AN11" s="282"/>
    </row>
    <row r="12" spans="2:40" ht="15" x14ac:dyDescent="0.2">
      <c r="B12" s="185">
        <v>3</v>
      </c>
      <c r="C12" s="184" t="s">
        <v>413</v>
      </c>
      <c r="D12" s="188" t="s">
        <v>411</v>
      </c>
      <c r="E12" s="281">
        <v>292.27999999999997</v>
      </c>
      <c r="F12" s="281">
        <v>0</v>
      </c>
      <c r="G12" s="281">
        <v>0</v>
      </c>
      <c r="H12" s="281">
        <v>0</v>
      </c>
      <c r="I12" s="281">
        <v>0</v>
      </c>
      <c r="J12" s="281">
        <v>0</v>
      </c>
      <c r="K12" s="281">
        <v>0</v>
      </c>
      <c r="L12" s="281">
        <v>0</v>
      </c>
      <c r="M12" s="281">
        <v>628.81100000000004</v>
      </c>
      <c r="N12" s="281">
        <v>98</v>
      </c>
      <c r="O12" s="281">
        <v>405.09699999999998</v>
      </c>
      <c r="P12" s="281">
        <v>0</v>
      </c>
      <c r="Q12" s="281">
        <v>0</v>
      </c>
      <c r="R12" s="281">
        <v>0</v>
      </c>
      <c r="S12" s="281">
        <v>0</v>
      </c>
      <c r="T12" s="281">
        <v>0</v>
      </c>
      <c r="U12" s="281">
        <v>0</v>
      </c>
      <c r="V12" s="281">
        <v>0</v>
      </c>
      <c r="W12" s="283">
        <v>424.83699999999999</v>
      </c>
      <c r="X12" s="283">
        <v>0</v>
      </c>
      <c r="Y12" s="283">
        <v>0</v>
      </c>
      <c r="Z12" s="283">
        <v>0</v>
      </c>
      <c r="AA12" s="283">
        <v>423.37099999999998</v>
      </c>
      <c r="AB12" s="283">
        <v>0</v>
      </c>
      <c r="AC12" s="282">
        <v>0</v>
      </c>
      <c r="AD12" s="282">
        <v>0</v>
      </c>
      <c r="AE12" s="282">
        <v>159.09700000000001</v>
      </c>
      <c r="AF12" s="282">
        <v>0</v>
      </c>
      <c r="AG12" s="282">
        <v>625.77200000000005</v>
      </c>
      <c r="AH12" s="282">
        <v>49</v>
      </c>
      <c r="AI12" s="282">
        <v>358.375</v>
      </c>
      <c r="AJ12" s="282">
        <v>34</v>
      </c>
      <c r="AK12" s="282">
        <v>541.69100000000003</v>
      </c>
      <c r="AL12" s="282">
        <v>49</v>
      </c>
      <c r="AM12" s="282">
        <v>274.61599999999999</v>
      </c>
      <c r="AN12" s="282">
        <v>0</v>
      </c>
    </row>
    <row r="13" spans="2:40" ht="15" x14ac:dyDescent="0.2">
      <c r="B13" s="185">
        <v>4</v>
      </c>
      <c r="C13" s="184" t="s">
        <v>414</v>
      </c>
      <c r="D13" s="188" t="s">
        <v>411</v>
      </c>
      <c r="E13" s="281"/>
      <c r="F13" s="281"/>
      <c r="G13" s="281"/>
      <c r="H13" s="281"/>
      <c r="I13" s="281"/>
      <c r="J13" s="281"/>
      <c r="K13" s="281"/>
      <c r="L13" s="281"/>
      <c r="M13" s="281"/>
      <c r="N13" s="281"/>
      <c r="O13" s="281"/>
      <c r="P13" s="281"/>
      <c r="Q13" s="281"/>
      <c r="R13" s="281"/>
      <c r="S13" s="281"/>
      <c r="T13" s="281"/>
      <c r="U13" s="281"/>
      <c r="V13" s="281"/>
      <c r="W13" s="283"/>
      <c r="X13" s="283"/>
      <c r="Y13" s="283"/>
      <c r="Z13" s="283"/>
      <c r="AA13" s="283"/>
      <c r="AB13" s="283"/>
      <c r="AC13" s="282"/>
      <c r="AD13" s="282"/>
      <c r="AE13" s="282"/>
      <c r="AF13" s="282"/>
      <c r="AG13" s="282"/>
      <c r="AH13" s="282"/>
      <c r="AI13" s="282"/>
      <c r="AJ13" s="282"/>
      <c r="AK13" s="282"/>
      <c r="AL13" s="282"/>
      <c r="AM13" s="282"/>
      <c r="AN13" s="282"/>
    </row>
    <row r="14" spans="2:40" ht="15" x14ac:dyDescent="0.2">
      <c r="B14" s="185">
        <v>5</v>
      </c>
      <c r="C14" s="184" t="s">
        <v>415</v>
      </c>
      <c r="D14" s="188" t="s">
        <v>411</v>
      </c>
      <c r="E14" s="281">
        <f>SUM(E12:E13)</f>
        <v>292.27999999999997</v>
      </c>
      <c r="F14" s="281">
        <f t="shared" ref="F14:AN14" si="0">SUM(F12:F13)</f>
        <v>0</v>
      </c>
      <c r="G14" s="281">
        <f t="shared" si="0"/>
        <v>0</v>
      </c>
      <c r="H14" s="281">
        <f t="shared" si="0"/>
        <v>0</v>
      </c>
      <c r="I14" s="281">
        <f t="shared" si="0"/>
        <v>0</v>
      </c>
      <c r="J14" s="281">
        <f t="shared" si="0"/>
        <v>0</v>
      </c>
      <c r="K14" s="281">
        <f t="shared" si="0"/>
        <v>0</v>
      </c>
      <c r="L14" s="281">
        <f t="shared" si="0"/>
        <v>0</v>
      </c>
      <c r="M14" s="281">
        <f t="shared" si="0"/>
        <v>628.81100000000004</v>
      </c>
      <c r="N14" s="281">
        <f t="shared" si="0"/>
        <v>98</v>
      </c>
      <c r="O14" s="281">
        <f t="shared" si="0"/>
        <v>405.09699999999998</v>
      </c>
      <c r="P14" s="281">
        <f t="shared" si="0"/>
        <v>0</v>
      </c>
      <c r="Q14" s="281">
        <f t="shared" si="0"/>
        <v>0</v>
      </c>
      <c r="R14" s="281">
        <f t="shared" si="0"/>
        <v>0</v>
      </c>
      <c r="S14" s="281">
        <f t="shared" si="0"/>
        <v>0</v>
      </c>
      <c r="T14" s="281">
        <f t="shared" si="0"/>
        <v>0</v>
      </c>
      <c r="U14" s="281">
        <f t="shared" si="0"/>
        <v>0</v>
      </c>
      <c r="V14" s="281">
        <f t="shared" si="0"/>
        <v>0</v>
      </c>
      <c r="W14" s="281">
        <f t="shared" si="0"/>
        <v>424.83699999999999</v>
      </c>
      <c r="X14" s="281">
        <f t="shared" si="0"/>
        <v>0</v>
      </c>
      <c r="Y14" s="281">
        <f t="shared" si="0"/>
        <v>0</v>
      </c>
      <c r="Z14" s="281">
        <f t="shared" si="0"/>
        <v>0</v>
      </c>
      <c r="AA14" s="281">
        <f t="shared" si="0"/>
        <v>423.37099999999998</v>
      </c>
      <c r="AB14" s="281">
        <f t="shared" si="0"/>
        <v>0</v>
      </c>
      <c r="AC14" s="281">
        <f t="shared" si="0"/>
        <v>0</v>
      </c>
      <c r="AD14" s="281">
        <f t="shared" si="0"/>
        <v>0</v>
      </c>
      <c r="AE14" s="281">
        <f t="shared" si="0"/>
        <v>159.09700000000001</v>
      </c>
      <c r="AF14" s="281">
        <f t="shared" si="0"/>
        <v>0</v>
      </c>
      <c r="AG14" s="281">
        <f t="shared" si="0"/>
        <v>625.77200000000005</v>
      </c>
      <c r="AH14" s="281">
        <f t="shared" si="0"/>
        <v>49</v>
      </c>
      <c r="AI14" s="281">
        <f t="shared" si="0"/>
        <v>358.375</v>
      </c>
      <c r="AJ14" s="281">
        <f t="shared" si="0"/>
        <v>34</v>
      </c>
      <c r="AK14" s="281">
        <f t="shared" si="0"/>
        <v>541.69100000000003</v>
      </c>
      <c r="AL14" s="281">
        <f t="shared" si="0"/>
        <v>49</v>
      </c>
      <c r="AM14" s="281">
        <f t="shared" si="0"/>
        <v>274.61599999999999</v>
      </c>
      <c r="AN14" s="281">
        <f t="shared" si="0"/>
        <v>0</v>
      </c>
    </row>
    <row r="15" spans="2:40" ht="15" x14ac:dyDescent="0.2">
      <c r="B15" s="185">
        <v>6</v>
      </c>
      <c r="C15" s="184" t="s">
        <v>288</v>
      </c>
      <c r="D15" s="188" t="s">
        <v>411</v>
      </c>
      <c r="E15" s="281"/>
      <c r="F15" s="281"/>
      <c r="G15" s="281"/>
      <c r="H15" s="281"/>
      <c r="I15" s="281"/>
      <c r="J15" s="281"/>
      <c r="K15" s="281"/>
      <c r="L15" s="281"/>
      <c r="M15" s="281"/>
      <c r="N15" s="281"/>
      <c r="O15" s="281"/>
      <c r="P15" s="281"/>
      <c r="Q15" s="281"/>
      <c r="R15" s="281"/>
      <c r="S15" s="281"/>
      <c r="T15" s="281"/>
      <c r="U15" s="281"/>
      <c r="V15" s="281"/>
      <c r="W15" s="283"/>
      <c r="X15" s="283"/>
      <c r="Y15" s="283"/>
      <c r="Z15" s="283"/>
      <c r="AA15" s="283"/>
      <c r="AB15" s="283"/>
      <c r="AC15" s="282"/>
      <c r="AD15" s="282"/>
      <c r="AE15" s="282"/>
      <c r="AF15" s="282"/>
      <c r="AG15" s="282"/>
      <c r="AH15" s="282"/>
      <c r="AI15" s="282"/>
      <c r="AJ15" s="282"/>
      <c r="AK15" s="282"/>
      <c r="AL15" s="282"/>
      <c r="AM15" s="282"/>
      <c r="AN15" s="282"/>
    </row>
    <row r="16" spans="2:40" ht="15" x14ac:dyDescent="0.2">
      <c r="B16" s="185">
        <v>7</v>
      </c>
      <c r="C16" s="184" t="s">
        <v>416</v>
      </c>
      <c r="D16" s="188" t="s">
        <v>411</v>
      </c>
      <c r="E16" s="281">
        <f>E14-E15</f>
        <v>292.27999999999997</v>
      </c>
      <c r="F16" s="281">
        <f t="shared" ref="F16:AN16" si="1">F14-F15</f>
        <v>0</v>
      </c>
      <c r="G16" s="281">
        <f t="shared" si="1"/>
        <v>0</v>
      </c>
      <c r="H16" s="281">
        <f t="shared" si="1"/>
        <v>0</v>
      </c>
      <c r="I16" s="281">
        <f t="shared" si="1"/>
        <v>0</v>
      </c>
      <c r="J16" s="281">
        <f t="shared" si="1"/>
        <v>0</v>
      </c>
      <c r="K16" s="281">
        <f t="shared" si="1"/>
        <v>0</v>
      </c>
      <c r="L16" s="281">
        <f t="shared" si="1"/>
        <v>0</v>
      </c>
      <c r="M16" s="281">
        <f t="shared" si="1"/>
        <v>628.81100000000004</v>
      </c>
      <c r="N16" s="281">
        <f t="shared" si="1"/>
        <v>98</v>
      </c>
      <c r="O16" s="281">
        <f t="shared" si="1"/>
        <v>405.09699999999998</v>
      </c>
      <c r="P16" s="281">
        <f t="shared" si="1"/>
        <v>0</v>
      </c>
      <c r="Q16" s="281">
        <f t="shared" si="1"/>
        <v>0</v>
      </c>
      <c r="R16" s="281">
        <f t="shared" si="1"/>
        <v>0</v>
      </c>
      <c r="S16" s="281">
        <f t="shared" si="1"/>
        <v>0</v>
      </c>
      <c r="T16" s="281">
        <f t="shared" si="1"/>
        <v>0</v>
      </c>
      <c r="U16" s="281">
        <f t="shared" si="1"/>
        <v>0</v>
      </c>
      <c r="V16" s="281">
        <f t="shared" si="1"/>
        <v>0</v>
      </c>
      <c r="W16" s="281">
        <f t="shared" si="1"/>
        <v>424.83699999999999</v>
      </c>
      <c r="X16" s="281">
        <f t="shared" si="1"/>
        <v>0</v>
      </c>
      <c r="Y16" s="281">
        <f t="shared" si="1"/>
        <v>0</v>
      </c>
      <c r="Z16" s="281">
        <f t="shared" si="1"/>
        <v>0</v>
      </c>
      <c r="AA16" s="281">
        <f t="shared" si="1"/>
        <v>423.37099999999998</v>
      </c>
      <c r="AB16" s="281">
        <f t="shared" si="1"/>
        <v>0</v>
      </c>
      <c r="AC16" s="281">
        <f t="shared" si="1"/>
        <v>0</v>
      </c>
      <c r="AD16" s="281">
        <f t="shared" si="1"/>
        <v>0</v>
      </c>
      <c r="AE16" s="281">
        <f t="shared" si="1"/>
        <v>159.09700000000001</v>
      </c>
      <c r="AF16" s="281">
        <f t="shared" si="1"/>
        <v>0</v>
      </c>
      <c r="AG16" s="281">
        <f t="shared" si="1"/>
        <v>625.77200000000005</v>
      </c>
      <c r="AH16" s="281">
        <f t="shared" si="1"/>
        <v>49</v>
      </c>
      <c r="AI16" s="281">
        <f t="shared" si="1"/>
        <v>358.375</v>
      </c>
      <c r="AJ16" s="281">
        <f t="shared" si="1"/>
        <v>34</v>
      </c>
      <c r="AK16" s="281">
        <f t="shared" si="1"/>
        <v>541.69100000000003</v>
      </c>
      <c r="AL16" s="281">
        <f t="shared" si="1"/>
        <v>49</v>
      </c>
      <c r="AM16" s="281">
        <f t="shared" si="1"/>
        <v>274.61599999999999</v>
      </c>
      <c r="AN16" s="281">
        <f t="shared" si="1"/>
        <v>0</v>
      </c>
    </row>
    <row r="17" spans="2:40" ht="15" x14ac:dyDescent="0.2">
      <c r="B17" s="179" t="s">
        <v>67</v>
      </c>
      <c r="C17" s="181" t="s">
        <v>290</v>
      </c>
      <c r="D17" s="188"/>
      <c r="E17" s="281"/>
      <c r="F17" s="281"/>
      <c r="G17" s="281"/>
      <c r="H17" s="281"/>
      <c r="I17" s="281"/>
      <c r="J17" s="281"/>
      <c r="K17" s="281"/>
      <c r="L17" s="281"/>
      <c r="M17" s="281"/>
      <c r="N17" s="281"/>
      <c r="O17" s="281"/>
      <c r="P17" s="281"/>
      <c r="Q17" s="281"/>
      <c r="R17" s="281"/>
      <c r="S17" s="281"/>
      <c r="T17" s="281"/>
      <c r="U17" s="281"/>
      <c r="V17" s="281"/>
      <c r="W17" s="283"/>
      <c r="X17" s="283"/>
      <c r="Y17" s="283"/>
      <c r="Z17" s="283"/>
      <c r="AA17" s="283"/>
      <c r="AB17" s="283"/>
      <c r="AC17" s="282"/>
      <c r="AD17" s="282"/>
      <c r="AE17" s="282"/>
      <c r="AF17" s="282"/>
      <c r="AG17" s="282"/>
      <c r="AH17" s="282"/>
      <c r="AI17" s="282"/>
      <c r="AJ17" s="282"/>
      <c r="AK17" s="282"/>
      <c r="AL17" s="282"/>
      <c r="AM17" s="282"/>
      <c r="AN17" s="282"/>
    </row>
    <row r="18" spans="2:40" ht="15" x14ac:dyDescent="0.2">
      <c r="B18" s="185">
        <v>8</v>
      </c>
      <c r="C18" s="184" t="s">
        <v>417</v>
      </c>
      <c r="D18" s="188" t="s">
        <v>412</v>
      </c>
      <c r="E18" s="281">
        <v>1.8748502</v>
      </c>
      <c r="F18" s="281">
        <v>0</v>
      </c>
      <c r="G18" s="281">
        <v>0</v>
      </c>
      <c r="H18" s="281">
        <v>0</v>
      </c>
      <c r="I18" s="281">
        <v>0</v>
      </c>
      <c r="J18" s="281">
        <v>0</v>
      </c>
      <c r="K18" s="281">
        <v>0</v>
      </c>
      <c r="L18" s="281">
        <v>0</v>
      </c>
      <c r="M18" s="281">
        <v>4.1285243080000003</v>
      </c>
      <c r="N18" s="281">
        <v>0.75624119999999995</v>
      </c>
      <c r="O18" s="281">
        <v>2.4328401999999998</v>
      </c>
      <c r="P18" s="281">
        <v>0</v>
      </c>
      <c r="Q18" s="281">
        <v>0</v>
      </c>
      <c r="R18" s="281">
        <v>0</v>
      </c>
      <c r="S18" s="281">
        <v>0</v>
      </c>
      <c r="T18" s="281">
        <v>0</v>
      </c>
      <c r="U18" s="281">
        <v>0</v>
      </c>
      <c r="V18" s="281">
        <v>0</v>
      </c>
      <c r="W18" s="283">
        <v>2.6084981549999999</v>
      </c>
      <c r="X18" s="283">
        <v>0</v>
      </c>
      <c r="Y18" s="283">
        <v>0</v>
      </c>
      <c r="Z18" s="283">
        <v>0</v>
      </c>
      <c r="AA18" s="283">
        <v>2.7399534879999998</v>
      </c>
      <c r="AB18" s="283">
        <v>0</v>
      </c>
      <c r="AC18" s="283">
        <v>0</v>
      </c>
      <c r="AD18" s="283">
        <v>0</v>
      </c>
      <c r="AE18" s="283">
        <v>0</v>
      </c>
      <c r="AF18" s="283">
        <v>0</v>
      </c>
      <c r="AG18" s="283">
        <v>0</v>
      </c>
      <c r="AH18" s="283">
        <v>0</v>
      </c>
      <c r="AI18" s="283">
        <v>0</v>
      </c>
      <c r="AJ18" s="283">
        <v>0</v>
      </c>
      <c r="AK18" s="283">
        <v>0</v>
      </c>
      <c r="AL18" s="283">
        <v>0</v>
      </c>
      <c r="AM18" s="283">
        <v>0</v>
      </c>
      <c r="AN18" s="283">
        <v>0</v>
      </c>
    </row>
    <row r="19" spans="2:40" ht="15" x14ac:dyDescent="0.2">
      <c r="B19" s="185">
        <v>9</v>
      </c>
      <c r="C19" s="184" t="s">
        <v>418</v>
      </c>
      <c r="D19" s="188" t="s">
        <v>412</v>
      </c>
      <c r="E19" s="281">
        <v>0</v>
      </c>
      <c r="F19" s="281"/>
      <c r="G19" s="281"/>
      <c r="H19" s="281"/>
      <c r="I19" s="281"/>
      <c r="J19" s="281"/>
      <c r="K19" s="281"/>
      <c r="L19" s="281"/>
      <c r="M19" s="281"/>
      <c r="N19" s="281"/>
      <c r="O19" s="281"/>
      <c r="P19" s="281"/>
      <c r="Q19" s="281"/>
      <c r="R19" s="281"/>
      <c r="S19" s="281"/>
      <c r="T19" s="281"/>
      <c r="U19" s="281"/>
      <c r="V19" s="281"/>
      <c r="W19" s="283"/>
      <c r="X19" s="283"/>
      <c r="Y19" s="283"/>
      <c r="Z19" s="283"/>
      <c r="AA19" s="283"/>
      <c r="AB19" s="283"/>
      <c r="AC19" s="282"/>
      <c r="AD19" s="282"/>
      <c r="AE19" s="282"/>
      <c r="AF19" s="282"/>
      <c r="AG19" s="282"/>
      <c r="AH19" s="282"/>
      <c r="AI19" s="282"/>
      <c r="AJ19" s="282"/>
      <c r="AK19" s="282"/>
      <c r="AL19" s="282"/>
      <c r="AM19" s="282"/>
      <c r="AN19" s="282"/>
    </row>
    <row r="20" spans="2:40" ht="15" x14ac:dyDescent="0.2">
      <c r="B20" s="185">
        <v>10</v>
      </c>
      <c r="C20" s="184" t="s">
        <v>293</v>
      </c>
      <c r="D20" s="188" t="s">
        <v>412</v>
      </c>
      <c r="E20" s="281">
        <v>0</v>
      </c>
      <c r="F20" s="281"/>
      <c r="G20" s="281"/>
      <c r="H20" s="281"/>
      <c r="I20" s="281"/>
      <c r="J20" s="281"/>
      <c r="K20" s="281"/>
      <c r="L20" s="281"/>
      <c r="M20" s="281"/>
      <c r="N20" s="281"/>
      <c r="O20" s="281"/>
      <c r="P20" s="281"/>
      <c r="Q20" s="281"/>
      <c r="R20" s="281"/>
      <c r="S20" s="281"/>
      <c r="T20" s="281"/>
      <c r="U20" s="281"/>
      <c r="V20" s="281"/>
      <c r="W20" s="283"/>
      <c r="X20" s="283"/>
      <c r="Y20" s="283"/>
      <c r="Z20" s="283"/>
      <c r="AA20" s="283"/>
      <c r="AB20" s="283"/>
      <c r="AC20" s="282"/>
      <c r="AD20" s="282"/>
      <c r="AE20" s="282"/>
      <c r="AF20" s="282"/>
      <c r="AG20" s="282"/>
      <c r="AH20" s="282"/>
      <c r="AI20" s="282"/>
      <c r="AJ20" s="282"/>
      <c r="AK20" s="282"/>
      <c r="AL20" s="282"/>
      <c r="AM20" s="282"/>
      <c r="AN20" s="282"/>
    </row>
    <row r="21" spans="2:40" ht="15" x14ac:dyDescent="0.2">
      <c r="B21" s="185">
        <v>11</v>
      </c>
      <c r="C21" s="184" t="s">
        <v>294</v>
      </c>
      <c r="D21" s="188" t="s">
        <v>412</v>
      </c>
      <c r="E21" s="281">
        <f>SUM(E18:E20)</f>
        <v>1.8748502</v>
      </c>
      <c r="F21" s="281">
        <f t="shared" ref="F21:AN21" si="2">SUM(F18:F20)</f>
        <v>0</v>
      </c>
      <c r="G21" s="281">
        <f t="shared" si="2"/>
        <v>0</v>
      </c>
      <c r="H21" s="281">
        <f t="shared" si="2"/>
        <v>0</v>
      </c>
      <c r="I21" s="281">
        <f t="shared" si="2"/>
        <v>0</v>
      </c>
      <c r="J21" s="281">
        <f t="shared" si="2"/>
        <v>0</v>
      </c>
      <c r="K21" s="281">
        <f t="shared" si="2"/>
        <v>0</v>
      </c>
      <c r="L21" s="281">
        <f t="shared" si="2"/>
        <v>0</v>
      </c>
      <c r="M21" s="281">
        <f t="shared" si="2"/>
        <v>4.1285243080000003</v>
      </c>
      <c r="N21" s="281">
        <f t="shared" si="2"/>
        <v>0.75624119999999995</v>
      </c>
      <c r="O21" s="281">
        <f t="shared" si="2"/>
        <v>2.4328401999999998</v>
      </c>
      <c r="P21" s="281">
        <f t="shared" si="2"/>
        <v>0</v>
      </c>
      <c r="Q21" s="281">
        <f t="shared" si="2"/>
        <v>0</v>
      </c>
      <c r="R21" s="281">
        <f t="shared" si="2"/>
        <v>0</v>
      </c>
      <c r="S21" s="281">
        <f t="shared" si="2"/>
        <v>0</v>
      </c>
      <c r="T21" s="281">
        <f t="shared" si="2"/>
        <v>0</v>
      </c>
      <c r="U21" s="281">
        <f t="shared" si="2"/>
        <v>0</v>
      </c>
      <c r="V21" s="281">
        <f t="shared" si="2"/>
        <v>0</v>
      </c>
      <c r="W21" s="281">
        <f t="shared" si="2"/>
        <v>2.6084981549999999</v>
      </c>
      <c r="X21" s="281">
        <f t="shared" si="2"/>
        <v>0</v>
      </c>
      <c r="Y21" s="281">
        <f t="shared" si="2"/>
        <v>0</v>
      </c>
      <c r="Z21" s="281">
        <f t="shared" si="2"/>
        <v>0</v>
      </c>
      <c r="AA21" s="281">
        <f t="shared" si="2"/>
        <v>2.7399534879999998</v>
      </c>
      <c r="AB21" s="281">
        <f t="shared" si="2"/>
        <v>0</v>
      </c>
      <c r="AC21" s="281">
        <f t="shared" si="2"/>
        <v>0</v>
      </c>
      <c r="AD21" s="281">
        <f t="shared" si="2"/>
        <v>0</v>
      </c>
      <c r="AE21" s="281">
        <f t="shared" si="2"/>
        <v>0</v>
      </c>
      <c r="AF21" s="281">
        <f t="shared" si="2"/>
        <v>0</v>
      </c>
      <c r="AG21" s="281">
        <f t="shared" si="2"/>
        <v>0</v>
      </c>
      <c r="AH21" s="281">
        <f t="shared" si="2"/>
        <v>0</v>
      </c>
      <c r="AI21" s="281">
        <f t="shared" si="2"/>
        <v>0</v>
      </c>
      <c r="AJ21" s="281">
        <f t="shared" si="2"/>
        <v>0</v>
      </c>
      <c r="AK21" s="281">
        <f t="shared" si="2"/>
        <v>0</v>
      </c>
      <c r="AL21" s="281">
        <f t="shared" si="2"/>
        <v>0</v>
      </c>
      <c r="AM21" s="281">
        <f t="shared" si="2"/>
        <v>0</v>
      </c>
      <c r="AN21" s="281">
        <f t="shared" si="2"/>
        <v>0</v>
      </c>
    </row>
    <row r="22" spans="2:40" ht="15" x14ac:dyDescent="0.2">
      <c r="B22" s="179" t="s">
        <v>295</v>
      </c>
      <c r="C22" s="181" t="s">
        <v>296</v>
      </c>
      <c r="D22" s="188"/>
      <c r="E22" s="281"/>
      <c r="F22" s="281"/>
      <c r="G22" s="281"/>
      <c r="H22" s="281"/>
      <c r="I22" s="281"/>
      <c r="J22" s="281"/>
      <c r="K22" s="281"/>
      <c r="L22" s="281"/>
      <c r="M22" s="281"/>
      <c r="N22" s="281"/>
      <c r="O22" s="281"/>
      <c r="P22" s="281"/>
      <c r="Q22" s="281"/>
      <c r="R22" s="281"/>
      <c r="S22" s="281"/>
      <c r="T22" s="281"/>
      <c r="U22" s="281"/>
      <c r="V22" s="281"/>
      <c r="W22" s="283"/>
      <c r="X22" s="283"/>
      <c r="Y22" s="283"/>
      <c r="Z22" s="283"/>
      <c r="AA22" s="283"/>
      <c r="AB22" s="283"/>
      <c r="AC22" s="282"/>
      <c r="AD22" s="282"/>
      <c r="AE22" s="282"/>
      <c r="AF22" s="282"/>
      <c r="AG22" s="282"/>
      <c r="AH22" s="282"/>
      <c r="AI22" s="282"/>
      <c r="AJ22" s="282"/>
      <c r="AK22" s="282"/>
      <c r="AL22" s="282"/>
      <c r="AM22" s="282"/>
      <c r="AN22" s="282"/>
    </row>
    <row r="23" spans="2:40" ht="15" x14ac:dyDescent="0.2">
      <c r="B23" s="185">
        <v>12</v>
      </c>
      <c r="C23" s="184" t="s">
        <v>297</v>
      </c>
      <c r="D23" s="188"/>
      <c r="E23" s="281">
        <v>0</v>
      </c>
      <c r="F23" s="281"/>
      <c r="G23" s="281"/>
      <c r="H23" s="281"/>
      <c r="I23" s="281"/>
      <c r="J23" s="281"/>
      <c r="K23" s="281"/>
      <c r="L23" s="281"/>
      <c r="M23" s="281"/>
      <c r="N23" s="281"/>
      <c r="O23" s="281"/>
      <c r="P23" s="281"/>
      <c r="Q23" s="281"/>
      <c r="R23" s="281"/>
      <c r="S23" s="281"/>
      <c r="T23" s="281"/>
      <c r="U23" s="281"/>
      <c r="V23" s="281"/>
      <c r="W23" s="283"/>
      <c r="X23" s="283"/>
      <c r="Y23" s="283"/>
      <c r="Z23" s="283"/>
      <c r="AA23" s="283"/>
      <c r="AB23" s="283"/>
      <c r="AC23" s="282"/>
      <c r="AD23" s="282"/>
      <c r="AE23" s="282"/>
      <c r="AF23" s="282"/>
      <c r="AG23" s="282"/>
      <c r="AH23" s="282"/>
      <c r="AI23" s="282"/>
      <c r="AJ23" s="282"/>
      <c r="AK23" s="282"/>
      <c r="AL23" s="282"/>
      <c r="AM23" s="282"/>
      <c r="AN23" s="282"/>
    </row>
    <row r="24" spans="2:40" ht="15" x14ac:dyDescent="0.2">
      <c r="B24" s="185"/>
      <c r="C24" s="184" t="s">
        <v>298</v>
      </c>
      <c r="D24" s="188" t="s">
        <v>412</v>
      </c>
      <c r="E24" s="281"/>
      <c r="F24" s="281"/>
      <c r="G24" s="281"/>
      <c r="H24" s="281"/>
      <c r="I24" s="281"/>
      <c r="J24" s="281"/>
      <c r="K24" s="281"/>
      <c r="L24" s="281"/>
      <c r="M24" s="281"/>
      <c r="N24" s="281"/>
      <c r="O24" s="281"/>
      <c r="P24" s="281"/>
      <c r="Q24" s="281"/>
      <c r="R24" s="281"/>
      <c r="S24" s="281"/>
      <c r="T24" s="281"/>
      <c r="U24" s="281"/>
      <c r="V24" s="281"/>
      <c r="W24" s="283"/>
      <c r="X24" s="283"/>
      <c r="Y24" s="283"/>
      <c r="Z24" s="283"/>
      <c r="AA24" s="283"/>
      <c r="AB24" s="283"/>
      <c r="AC24" s="282"/>
      <c r="AD24" s="282"/>
      <c r="AE24" s="282"/>
      <c r="AF24" s="282"/>
      <c r="AG24" s="282"/>
      <c r="AH24" s="282"/>
      <c r="AI24" s="282"/>
      <c r="AJ24" s="282"/>
      <c r="AK24" s="282"/>
      <c r="AL24" s="282"/>
      <c r="AM24" s="282"/>
      <c r="AN24" s="282"/>
    </row>
    <row r="25" spans="2:40" ht="15" x14ac:dyDescent="0.2">
      <c r="B25" s="185"/>
      <c r="C25" s="184" t="s">
        <v>299</v>
      </c>
      <c r="D25" s="188" t="s">
        <v>412</v>
      </c>
      <c r="E25" s="281"/>
      <c r="F25" s="281"/>
      <c r="G25" s="281"/>
      <c r="H25" s="281"/>
      <c r="I25" s="281"/>
      <c r="J25" s="281"/>
      <c r="K25" s="281"/>
      <c r="L25" s="281"/>
      <c r="M25" s="281"/>
      <c r="N25" s="281"/>
      <c r="O25" s="281"/>
      <c r="P25" s="281"/>
      <c r="Q25" s="281"/>
      <c r="R25" s="281"/>
      <c r="S25" s="281"/>
      <c r="T25" s="281"/>
      <c r="U25" s="281"/>
      <c r="V25" s="281"/>
      <c r="W25" s="283"/>
      <c r="X25" s="283"/>
      <c r="Y25" s="283"/>
      <c r="Z25" s="283"/>
      <c r="AA25" s="283"/>
      <c r="AB25" s="283"/>
      <c r="AC25" s="282"/>
      <c r="AD25" s="282"/>
      <c r="AE25" s="282"/>
      <c r="AF25" s="282"/>
      <c r="AG25" s="282"/>
      <c r="AH25" s="282"/>
      <c r="AI25" s="282"/>
      <c r="AJ25" s="282"/>
      <c r="AK25" s="282"/>
      <c r="AL25" s="282"/>
      <c r="AM25" s="282"/>
      <c r="AN25" s="282"/>
    </row>
    <row r="26" spans="2:40" ht="15" x14ac:dyDescent="0.2">
      <c r="B26" s="185"/>
      <c r="C26" s="184" t="s">
        <v>300</v>
      </c>
      <c r="D26" s="188" t="s">
        <v>412</v>
      </c>
      <c r="E26" s="281"/>
      <c r="F26" s="281"/>
      <c r="G26" s="281"/>
      <c r="H26" s="281"/>
      <c r="I26" s="281"/>
      <c r="J26" s="281"/>
      <c r="K26" s="281"/>
      <c r="L26" s="281"/>
      <c r="M26" s="281"/>
      <c r="N26" s="281"/>
      <c r="O26" s="281"/>
      <c r="P26" s="281"/>
      <c r="Q26" s="281"/>
      <c r="R26" s="281"/>
      <c r="S26" s="281"/>
      <c r="T26" s="281"/>
      <c r="U26" s="281"/>
      <c r="V26" s="281"/>
      <c r="W26" s="283"/>
      <c r="X26" s="283"/>
      <c r="Y26" s="283"/>
      <c r="Z26" s="283"/>
      <c r="AA26" s="283"/>
      <c r="AB26" s="283"/>
      <c r="AC26" s="282"/>
      <c r="AD26" s="282"/>
      <c r="AE26" s="282"/>
      <c r="AF26" s="282"/>
      <c r="AG26" s="282"/>
      <c r="AH26" s="282"/>
      <c r="AI26" s="282"/>
      <c r="AJ26" s="282"/>
      <c r="AK26" s="282"/>
      <c r="AL26" s="282"/>
      <c r="AM26" s="282"/>
      <c r="AN26" s="282"/>
    </row>
    <row r="27" spans="2:40" ht="15" x14ac:dyDescent="0.2">
      <c r="B27" s="185"/>
      <c r="C27" s="184" t="s">
        <v>9</v>
      </c>
      <c r="D27" s="188" t="s">
        <v>412</v>
      </c>
      <c r="E27" s="281"/>
      <c r="F27" s="281"/>
      <c r="G27" s="281"/>
      <c r="H27" s="281"/>
      <c r="I27" s="281"/>
      <c r="J27" s="281"/>
      <c r="K27" s="281"/>
      <c r="L27" s="281"/>
      <c r="M27" s="281"/>
      <c r="N27" s="281"/>
      <c r="O27" s="281"/>
      <c r="P27" s="281"/>
      <c r="Q27" s="281"/>
      <c r="R27" s="281"/>
      <c r="S27" s="281"/>
      <c r="T27" s="281"/>
      <c r="U27" s="281"/>
      <c r="V27" s="281"/>
      <c r="W27" s="283"/>
      <c r="X27" s="283"/>
      <c r="Y27" s="283"/>
      <c r="Z27" s="283"/>
      <c r="AA27" s="283"/>
      <c r="AB27" s="283"/>
      <c r="AC27" s="282"/>
      <c r="AD27" s="282"/>
      <c r="AE27" s="282"/>
      <c r="AF27" s="282"/>
      <c r="AG27" s="282"/>
      <c r="AH27" s="282"/>
      <c r="AI27" s="282"/>
      <c r="AJ27" s="282"/>
      <c r="AK27" s="282"/>
      <c r="AL27" s="282"/>
      <c r="AM27" s="282"/>
      <c r="AN27" s="282"/>
    </row>
    <row r="28" spans="2:40" ht="15" x14ac:dyDescent="0.2">
      <c r="B28" s="185">
        <v>13</v>
      </c>
      <c r="C28" s="184" t="s">
        <v>419</v>
      </c>
      <c r="D28" s="188" t="s">
        <v>412</v>
      </c>
      <c r="E28" s="281"/>
      <c r="F28" s="281"/>
      <c r="G28" s="281"/>
      <c r="H28" s="281"/>
      <c r="I28" s="281"/>
      <c r="J28" s="281"/>
      <c r="K28" s="281"/>
      <c r="L28" s="281"/>
      <c r="M28" s="281"/>
      <c r="N28" s="281"/>
      <c r="O28" s="281"/>
      <c r="P28" s="281"/>
      <c r="Q28" s="281"/>
      <c r="R28" s="281"/>
      <c r="S28" s="281"/>
      <c r="T28" s="281"/>
      <c r="U28" s="281"/>
      <c r="V28" s="281"/>
      <c r="W28" s="283"/>
      <c r="X28" s="283"/>
      <c r="Y28" s="283"/>
      <c r="Z28" s="283"/>
      <c r="AA28" s="283"/>
      <c r="AB28" s="283"/>
      <c r="AC28" s="282"/>
      <c r="AD28" s="282"/>
      <c r="AE28" s="282"/>
      <c r="AF28" s="282"/>
      <c r="AG28" s="282"/>
      <c r="AH28" s="282"/>
      <c r="AI28" s="282"/>
      <c r="AJ28" s="282"/>
      <c r="AK28" s="282"/>
      <c r="AL28" s="282"/>
      <c r="AM28" s="282"/>
      <c r="AN28" s="282"/>
    </row>
    <row r="29" spans="2:40" ht="15" x14ac:dyDescent="0.2">
      <c r="B29" s="185">
        <v>14</v>
      </c>
      <c r="C29" s="184" t="s">
        <v>302</v>
      </c>
      <c r="D29" s="188" t="s">
        <v>412</v>
      </c>
      <c r="E29" s="281"/>
      <c r="F29" s="281"/>
      <c r="G29" s="281"/>
      <c r="H29" s="281"/>
      <c r="I29" s="281"/>
      <c r="J29" s="281"/>
      <c r="K29" s="281"/>
      <c r="L29" s="281"/>
      <c r="M29" s="281"/>
      <c r="N29" s="281"/>
      <c r="O29" s="281"/>
      <c r="P29" s="281"/>
      <c r="Q29" s="281"/>
      <c r="R29" s="281"/>
      <c r="S29" s="281"/>
      <c r="T29" s="281"/>
      <c r="U29" s="281"/>
      <c r="V29" s="281"/>
      <c r="W29" s="283"/>
      <c r="X29" s="283"/>
      <c r="Y29" s="283"/>
      <c r="Z29" s="283"/>
      <c r="AA29" s="283"/>
      <c r="AB29" s="283"/>
      <c r="AC29" s="282"/>
      <c r="AD29" s="282"/>
      <c r="AE29" s="282"/>
      <c r="AF29" s="282"/>
      <c r="AG29" s="282"/>
      <c r="AH29" s="282"/>
      <c r="AI29" s="282"/>
      <c r="AJ29" s="282"/>
      <c r="AK29" s="282"/>
      <c r="AL29" s="282"/>
      <c r="AM29" s="282"/>
      <c r="AN29" s="282"/>
    </row>
    <row r="30" spans="2:40" ht="21.75" customHeight="1" x14ac:dyDescent="0.2">
      <c r="B30" s="185">
        <v>15</v>
      </c>
      <c r="C30" s="184" t="s">
        <v>420</v>
      </c>
      <c r="D30" s="188" t="s">
        <v>412</v>
      </c>
      <c r="E30" s="281"/>
      <c r="F30" s="281"/>
      <c r="G30" s="281"/>
      <c r="H30" s="281"/>
      <c r="I30" s="281"/>
      <c r="J30" s="281"/>
      <c r="K30" s="281"/>
      <c r="L30" s="281"/>
      <c r="M30" s="281"/>
      <c r="N30" s="281"/>
      <c r="O30" s="281"/>
      <c r="P30" s="281"/>
      <c r="Q30" s="281"/>
      <c r="R30" s="281"/>
      <c r="S30" s="281"/>
      <c r="T30" s="281"/>
      <c r="U30" s="281"/>
      <c r="V30" s="281"/>
      <c r="W30" s="283"/>
      <c r="X30" s="283"/>
      <c r="Y30" s="283"/>
      <c r="Z30" s="283"/>
      <c r="AA30" s="283"/>
      <c r="AB30" s="283"/>
      <c r="AC30" s="282"/>
      <c r="AD30" s="282"/>
      <c r="AE30" s="282"/>
      <c r="AF30" s="282"/>
      <c r="AG30" s="282"/>
      <c r="AH30" s="282"/>
      <c r="AI30" s="282"/>
      <c r="AJ30" s="282"/>
      <c r="AK30" s="282"/>
      <c r="AL30" s="282"/>
      <c r="AM30" s="282"/>
      <c r="AN30" s="282"/>
    </row>
    <row r="31" spans="2:40" ht="15" x14ac:dyDescent="0.2">
      <c r="B31" s="185">
        <v>16</v>
      </c>
      <c r="C31" s="184" t="s">
        <v>303</v>
      </c>
      <c r="D31" s="188" t="s">
        <v>412</v>
      </c>
      <c r="E31" s="281">
        <f>SUM(E23:E30)</f>
        <v>0</v>
      </c>
      <c r="F31" s="281">
        <f t="shared" ref="F31:AN31" si="3">SUM(F23:F30)</f>
        <v>0</v>
      </c>
      <c r="G31" s="281">
        <f t="shared" si="3"/>
        <v>0</v>
      </c>
      <c r="H31" s="281">
        <f t="shared" si="3"/>
        <v>0</v>
      </c>
      <c r="I31" s="281">
        <f t="shared" si="3"/>
        <v>0</v>
      </c>
      <c r="J31" s="281">
        <f t="shared" si="3"/>
        <v>0</v>
      </c>
      <c r="K31" s="281">
        <f t="shared" si="3"/>
        <v>0</v>
      </c>
      <c r="L31" s="281">
        <f t="shared" si="3"/>
        <v>0</v>
      </c>
      <c r="M31" s="281">
        <f t="shared" si="3"/>
        <v>0</v>
      </c>
      <c r="N31" s="281">
        <f t="shared" si="3"/>
        <v>0</v>
      </c>
      <c r="O31" s="281">
        <f t="shared" si="3"/>
        <v>0</v>
      </c>
      <c r="P31" s="281">
        <f t="shared" si="3"/>
        <v>0</v>
      </c>
      <c r="Q31" s="281">
        <f t="shared" si="3"/>
        <v>0</v>
      </c>
      <c r="R31" s="281">
        <f t="shared" si="3"/>
        <v>0</v>
      </c>
      <c r="S31" s="281">
        <f t="shared" si="3"/>
        <v>0</v>
      </c>
      <c r="T31" s="281">
        <f t="shared" si="3"/>
        <v>0</v>
      </c>
      <c r="U31" s="281">
        <f t="shared" si="3"/>
        <v>0</v>
      </c>
      <c r="V31" s="281">
        <f t="shared" si="3"/>
        <v>0</v>
      </c>
      <c r="W31" s="281">
        <f t="shared" si="3"/>
        <v>0</v>
      </c>
      <c r="X31" s="281">
        <f t="shared" si="3"/>
        <v>0</v>
      </c>
      <c r="Y31" s="281">
        <f t="shared" si="3"/>
        <v>0</v>
      </c>
      <c r="Z31" s="281">
        <f t="shared" si="3"/>
        <v>0</v>
      </c>
      <c r="AA31" s="281">
        <f t="shared" si="3"/>
        <v>0</v>
      </c>
      <c r="AB31" s="281">
        <f t="shared" si="3"/>
        <v>0</v>
      </c>
      <c r="AC31" s="281">
        <f t="shared" si="3"/>
        <v>0</v>
      </c>
      <c r="AD31" s="281">
        <f t="shared" si="3"/>
        <v>0</v>
      </c>
      <c r="AE31" s="281">
        <f t="shared" si="3"/>
        <v>0</v>
      </c>
      <c r="AF31" s="281">
        <f t="shared" si="3"/>
        <v>0</v>
      </c>
      <c r="AG31" s="281">
        <f t="shared" si="3"/>
        <v>0</v>
      </c>
      <c r="AH31" s="281">
        <f t="shared" si="3"/>
        <v>0</v>
      </c>
      <c r="AI31" s="281">
        <f t="shared" si="3"/>
        <v>0</v>
      </c>
      <c r="AJ31" s="281">
        <f t="shared" si="3"/>
        <v>0</v>
      </c>
      <c r="AK31" s="281">
        <f t="shared" si="3"/>
        <v>0</v>
      </c>
      <c r="AL31" s="281">
        <f t="shared" si="3"/>
        <v>0</v>
      </c>
      <c r="AM31" s="281">
        <f t="shared" si="3"/>
        <v>0</v>
      </c>
      <c r="AN31" s="281">
        <f t="shared" si="3"/>
        <v>0</v>
      </c>
    </row>
    <row r="32" spans="2:40" ht="15" x14ac:dyDescent="0.2">
      <c r="B32" s="185">
        <v>17</v>
      </c>
      <c r="C32" s="184" t="s">
        <v>421</v>
      </c>
      <c r="D32" s="188" t="s">
        <v>412</v>
      </c>
      <c r="E32" s="281">
        <f>E21+E31</f>
        <v>1.8748502</v>
      </c>
      <c r="F32" s="281">
        <f t="shared" ref="F32:AN32" si="4">F21+F31</f>
        <v>0</v>
      </c>
      <c r="G32" s="281">
        <f t="shared" si="4"/>
        <v>0</v>
      </c>
      <c r="H32" s="281">
        <f t="shared" si="4"/>
        <v>0</v>
      </c>
      <c r="I32" s="281">
        <f t="shared" si="4"/>
        <v>0</v>
      </c>
      <c r="J32" s="281">
        <f t="shared" si="4"/>
        <v>0</v>
      </c>
      <c r="K32" s="281">
        <f t="shared" si="4"/>
        <v>0</v>
      </c>
      <c r="L32" s="281">
        <f t="shared" si="4"/>
        <v>0</v>
      </c>
      <c r="M32" s="281">
        <f t="shared" si="4"/>
        <v>4.1285243080000003</v>
      </c>
      <c r="N32" s="281">
        <f t="shared" si="4"/>
        <v>0.75624119999999995</v>
      </c>
      <c r="O32" s="281">
        <f t="shared" si="4"/>
        <v>2.4328401999999998</v>
      </c>
      <c r="P32" s="281">
        <f t="shared" si="4"/>
        <v>0</v>
      </c>
      <c r="Q32" s="281">
        <f t="shared" si="4"/>
        <v>0</v>
      </c>
      <c r="R32" s="281">
        <f t="shared" si="4"/>
        <v>0</v>
      </c>
      <c r="S32" s="281">
        <f t="shared" si="4"/>
        <v>0</v>
      </c>
      <c r="T32" s="281">
        <f t="shared" si="4"/>
        <v>0</v>
      </c>
      <c r="U32" s="281">
        <f t="shared" si="4"/>
        <v>0</v>
      </c>
      <c r="V32" s="281">
        <f t="shared" si="4"/>
        <v>0</v>
      </c>
      <c r="W32" s="281">
        <f t="shared" si="4"/>
        <v>2.6084981549999999</v>
      </c>
      <c r="X32" s="281">
        <f t="shared" si="4"/>
        <v>0</v>
      </c>
      <c r="Y32" s="281">
        <f t="shared" si="4"/>
        <v>0</v>
      </c>
      <c r="Z32" s="281">
        <f t="shared" si="4"/>
        <v>0</v>
      </c>
      <c r="AA32" s="281">
        <f t="shared" si="4"/>
        <v>2.7399534879999998</v>
      </c>
      <c r="AB32" s="281">
        <f t="shared" si="4"/>
        <v>0</v>
      </c>
      <c r="AC32" s="281">
        <f t="shared" si="4"/>
        <v>0</v>
      </c>
      <c r="AD32" s="281">
        <f t="shared" si="4"/>
        <v>0</v>
      </c>
      <c r="AE32" s="281">
        <f t="shared" si="4"/>
        <v>0</v>
      </c>
      <c r="AF32" s="281">
        <f t="shared" si="4"/>
        <v>0</v>
      </c>
      <c r="AG32" s="281">
        <f t="shared" si="4"/>
        <v>0</v>
      </c>
      <c r="AH32" s="281">
        <f t="shared" si="4"/>
        <v>0</v>
      </c>
      <c r="AI32" s="281">
        <f t="shared" si="4"/>
        <v>0</v>
      </c>
      <c r="AJ32" s="281">
        <f t="shared" si="4"/>
        <v>0</v>
      </c>
      <c r="AK32" s="281">
        <f t="shared" si="4"/>
        <v>0</v>
      </c>
      <c r="AL32" s="281">
        <f t="shared" si="4"/>
        <v>0</v>
      </c>
      <c r="AM32" s="281">
        <f t="shared" si="4"/>
        <v>0</v>
      </c>
      <c r="AN32" s="281">
        <f t="shared" si="4"/>
        <v>0</v>
      </c>
    </row>
    <row r="33" spans="2:40" ht="15" x14ac:dyDescent="0.2">
      <c r="B33" s="179" t="s">
        <v>305</v>
      </c>
      <c r="C33" s="181" t="s">
        <v>182</v>
      </c>
      <c r="D33" s="188"/>
      <c r="E33" s="281">
        <f>SUM(E23:E31)</f>
        <v>0</v>
      </c>
      <c r="F33" s="281"/>
      <c r="G33" s="281"/>
      <c r="H33" s="281"/>
      <c r="I33" s="281"/>
      <c r="J33" s="281"/>
      <c r="K33" s="281"/>
      <c r="L33" s="281"/>
      <c r="M33" s="281"/>
      <c r="N33" s="281"/>
      <c r="O33" s="281"/>
      <c r="P33" s="281"/>
      <c r="Q33" s="281"/>
      <c r="R33" s="281"/>
      <c r="S33" s="281"/>
      <c r="T33" s="281"/>
      <c r="U33" s="281"/>
      <c r="V33" s="281"/>
      <c r="W33" s="283"/>
      <c r="X33" s="283"/>
      <c r="Y33" s="283"/>
      <c r="Z33" s="283"/>
      <c r="AA33" s="283"/>
      <c r="AB33" s="283"/>
      <c r="AC33" s="282"/>
      <c r="AD33" s="282"/>
      <c r="AE33" s="282"/>
      <c r="AF33" s="282"/>
      <c r="AG33" s="282"/>
      <c r="AH33" s="282"/>
      <c r="AI33" s="282"/>
      <c r="AJ33" s="282"/>
      <c r="AK33" s="282"/>
      <c r="AL33" s="282"/>
      <c r="AM33" s="282"/>
      <c r="AN33" s="282"/>
    </row>
    <row r="34" spans="2:40" s="266" customFormat="1" ht="15.75" x14ac:dyDescent="0.2">
      <c r="B34" s="179">
        <v>18</v>
      </c>
      <c r="C34" s="181" t="s">
        <v>422</v>
      </c>
      <c r="D34" s="285" t="s">
        <v>423</v>
      </c>
      <c r="E34" s="286">
        <f>(E10+E32)/(E9+E16)*10000000</f>
        <v>61101.908884850731</v>
      </c>
      <c r="F34" s="286">
        <f t="shared" ref="F34:AN34" si="5">(F10+F32)/(F9+F16)*10000000</f>
        <v>80860.016551608365</v>
      </c>
      <c r="G34" s="286">
        <f t="shared" si="5"/>
        <v>61101.908884850724</v>
      </c>
      <c r="H34" s="286">
        <f t="shared" si="5"/>
        <v>80860.016551608365</v>
      </c>
      <c r="I34" s="286">
        <f t="shared" si="5"/>
        <v>61101.908884850724</v>
      </c>
      <c r="J34" s="286">
        <f t="shared" si="5"/>
        <v>80860.01655160838</v>
      </c>
      <c r="K34" s="286">
        <f t="shared" si="5"/>
        <v>61101.908884850724</v>
      </c>
      <c r="L34" s="286">
        <f t="shared" si="5"/>
        <v>80860.01655160838</v>
      </c>
      <c r="M34" s="286">
        <f t="shared" si="5"/>
        <v>62509.132719138172</v>
      </c>
      <c r="N34" s="286">
        <f t="shared" si="5"/>
        <v>79140.888292365329</v>
      </c>
      <c r="O34" s="286">
        <f t="shared" si="5"/>
        <v>62005.784201958995</v>
      </c>
      <c r="P34" s="286">
        <f t="shared" si="5"/>
        <v>79140.888292365329</v>
      </c>
      <c r="Q34" s="286">
        <f t="shared" si="5"/>
        <v>62005.784201958995</v>
      </c>
      <c r="R34" s="286">
        <f t="shared" si="5"/>
        <v>79140.888292365329</v>
      </c>
      <c r="S34" s="286">
        <f t="shared" si="5"/>
        <v>62005.784201958988</v>
      </c>
      <c r="T34" s="286">
        <f t="shared" si="5"/>
        <v>79140.888292365315</v>
      </c>
      <c r="U34" s="286">
        <f t="shared" si="5"/>
        <v>62005.784201958988</v>
      </c>
      <c r="V34" s="286">
        <f t="shared" si="5"/>
        <v>79140.888292365329</v>
      </c>
      <c r="W34" s="286">
        <f t="shared" si="5"/>
        <v>61862.271101362188</v>
      </c>
      <c r="X34" s="286">
        <f t="shared" si="5"/>
        <v>79140.888292365329</v>
      </c>
      <c r="Y34" s="286">
        <f t="shared" si="5"/>
        <v>61862.271101362188</v>
      </c>
      <c r="Z34" s="286">
        <f t="shared" si="5"/>
        <v>79140.888292365329</v>
      </c>
      <c r="AA34" s="286">
        <f t="shared" si="5"/>
        <v>62503.20958107811</v>
      </c>
      <c r="AB34" s="286">
        <f t="shared" si="5"/>
        <v>79140.888292365329</v>
      </c>
      <c r="AC34" s="286">
        <f t="shared" si="5"/>
        <v>62503.209581078198</v>
      </c>
      <c r="AD34" s="286">
        <f t="shared" si="5"/>
        <v>79140.8882923653</v>
      </c>
      <c r="AE34" s="286">
        <f t="shared" si="5"/>
        <v>57519.448716283376</v>
      </c>
      <c r="AF34" s="286">
        <f t="shared" si="5"/>
        <v>79140.8882923653</v>
      </c>
      <c r="AG34" s="286">
        <f t="shared" si="5"/>
        <v>46724.677572507782</v>
      </c>
      <c r="AH34" s="286">
        <f t="shared" si="5"/>
        <v>53543.489507407961</v>
      </c>
      <c r="AI34" s="286">
        <f t="shared" si="5"/>
        <v>51626.962506487434</v>
      </c>
      <c r="AJ34" s="286">
        <f t="shared" si="5"/>
        <v>58415.172947791907</v>
      </c>
      <c r="AK34" s="286">
        <f t="shared" si="5"/>
        <v>47917.335240501852</v>
      </c>
      <c r="AL34" s="286">
        <f t="shared" si="5"/>
        <v>54198.201849942758</v>
      </c>
      <c r="AM34" s="286">
        <f t="shared" si="5"/>
        <v>53918.534502816154</v>
      </c>
      <c r="AN34" s="286">
        <f t="shared" si="5"/>
        <v>75571.418249754235</v>
      </c>
    </row>
    <row r="35" spans="2:40" ht="15" x14ac:dyDescent="0.2">
      <c r="B35" s="185">
        <v>19</v>
      </c>
      <c r="C35" s="184" t="s">
        <v>308</v>
      </c>
      <c r="D35" s="188"/>
      <c r="E35" s="281"/>
      <c r="F35" s="281"/>
      <c r="G35" s="281"/>
      <c r="H35" s="281"/>
      <c r="I35" s="281"/>
      <c r="J35" s="281"/>
      <c r="K35" s="281"/>
      <c r="L35" s="281"/>
      <c r="M35" s="281"/>
      <c r="N35" s="281"/>
      <c r="O35" s="281"/>
      <c r="P35" s="281"/>
      <c r="Q35" s="281"/>
      <c r="R35" s="281"/>
      <c r="S35" s="281"/>
      <c r="T35" s="281"/>
      <c r="U35" s="281"/>
      <c r="V35" s="281"/>
      <c r="W35" s="283"/>
      <c r="X35" s="283"/>
      <c r="Y35" s="283"/>
      <c r="Z35" s="283"/>
      <c r="AA35" s="283"/>
      <c r="AB35" s="283"/>
      <c r="AC35" s="282"/>
      <c r="AD35" s="282"/>
      <c r="AE35" s="282"/>
      <c r="AF35" s="282"/>
      <c r="AG35" s="282"/>
      <c r="AH35" s="282"/>
      <c r="AI35" s="282"/>
      <c r="AJ35" s="282"/>
      <c r="AK35" s="282"/>
      <c r="AL35" s="282"/>
      <c r="AM35" s="282"/>
      <c r="AN35" s="282"/>
    </row>
    <row r="36" spans="2:40" ht="15" x14ac:dyDescent="0.2">
      <c r="B36" s="185">
        <v>20</v>
      </c>
      <c r="C36" s="184" t="s">
        <v>424</v>
      </c>
      <c r="D36" s="188" t="s">
        <v>423</v>
      </c>
      <c r="E36" s="281"/>
      <c r="F36" s="281"/>
      <c r="G36" s="281"/>
      <c r="H36" s="281"/>
      <c r="I36" s="281"/>
      <c r="J36" s="281"/>
      <c r="K36" s="281"/>
      <c r="L36" s="281"/>
      <c r="M36" s="281"/>
      <c r="N36" s="281"/>
      <c r="O36" s="281"/>
      <c r="P36" s="281"/>
      <c r="Q36" s="281"/>
      <c r="R36" s="281"/>
      <c r="S36" s="281"/>
      <c r="T36" s="281"/>
      <c r="U36" s="281"/>
      <c r="V36" s="281"/>
      <c r="W36" s="283"/>
      <c r="X36" s="283"/>
      <c r="Y36" s="283"/>
      <c r="Z36" s="283"/>
      <c r="AA36" s="283"/>
      <c r="AB36" s="283"/>
      <c r="AC36" s="282"/>
      <c r="AD36" s="282"/>
      <c r="AE36" s="282"/>
      <c r="AF36" s="282"/>
      <c r="AG36" s="282"/>
      <c r="AH36" s="282"/>
      <c r="AI36" s="282"/>
      <c r="AJ36" s="282"/>
      <c r="AK36" s="282"/>
      <c r="AL36" s="282"/>
      <c r="AM36" s="282"/>
      <c r="AN36" s="282"/>
    </row>
    <row r="37" spans="2:40" ht="15" x14ac:dyDescent="0.2">
      <c r="B37" s="179" t="s">
        <v>310</v>
      </c>
      <c r="C37" s="181" t="s">
        <v>311</v>
      </c>
      <c r="D37" s="188"/>
      <c r="E37" s="281"/>
      <c r="F37" s="281"/>
      <c r="G37" s="281"/>
      <c r="H37" s="281"/>
      <c r="I37" s="281"/>
      <c r="J37" s="281"/>
      <c r="K37" s="281"/>
      <c r="L37" s="281"/>
      <c r="M37" s="281"/>
      <c r="N37" s="281"/>
      <c r="O37" s="281"/>
      <c r="P37" s="281"/>
      <c r="Q37" s="281"/>
      <c r="R37" s="281"/>
      <c r="S37" s="281"/>
      <c r="T37" s="281"/>
      <c r="U37" s="281"/>
      <c r="V37" s="281"/>
      <c r="W37" s="283"/>
      <c r="X37" s="283"/>
      <c r="Y37" s="283"/>
      <c r="Z37" s="283"/>
      <c r="AA37" s="283"/>
      <c r="AB37" s="283"/>
      <c r="AC37" s="282"/>
      <c r="AD37" s="282"/>
      <c r="AE37" s="282"/>
      <c r="AF37" s="282"/>
      <c r="AG37" s="282"/>
      <c r="AH37" s="282"/>
      <c r="AI37" s="282"/>
      <c r="AJ37" s="282"/>
      <c r="AK37" s="282"/>
      <c r="AL37" s="282"/>
      <c r="AM37" s="282"/>
      <c r="AN37" s="282"/>
    </row>
    <row r="38" spans="2:40" ht="15" x14ac:dyDescent="0.2">
      <c r="B38" s="185">
        <v>21</v>
      </c>
      <c r="C38" s="184" t="s">
        <v>425</v>
      </c>
      <c r="D38" s="188" t="s">
        <v>426</v>
      </c>
      <c r="E38" s="281"/>
      <c r="F38" s="281"/>
      <c r="G38" s="281"/>
      <c r="H38" s="281"/>
      <c r="I38" s="281"/>
      <c r="J38" s="281"/>
      <c r="K38" s="281"/>
      <c r="L38" s="281"/>
      <c r="M38" s="281"/>
      <c r="N38" s="281"/>
      <c r="O38" s="281"/>
      <c r="P38" s="281"/>
      <c r="Q38" s="281"/>
      <c r="R38" s="281"/>
      <c r="S38" s="281"/>
      <c r="T38" s="281"/>
      <c r="U38" s="281"/>
      <c r="V38" s="281"/>
      <c r="W38" s="283"/>
      <c r="X38" s="283"/>
      <c r="Y38" s="283"/>
      <c r="Z38" s="283"/>
      <c r="AA38" s="283"/>
      <c r="AB38" s="283"/>
      <c r="AC38" s="282"/>
      <c r="AD38" s="282"/>
      <c r="AE38" s="282"/>
      <c r="AF38" s="282"/>
      <c r="AG38" s="282"/>
      <c r="AH38" s="282"/>
      <c r="AI38" s="282"/>
      <c r="AJ38" s="282"/>
      <c r="AK38" s="282"/>
      <c r="AL38" s="282"/>
      <c r="AM38" s="282"/>
      <c r="AN38" s="282"/>
    </row>
    <row r="39" spans="2:40" ht="15" x14ac:dyDescent="0.2">
      <c r="B39" s="185">
        <v>22</v>
      </c>
      <c r="C39" s="184" t="s">
        <v>427</v>
      </c>
      <c r="D39" s="188" t="s">
        <v>426</v>
      </c>
      <c r="E39" s="281"/>
      <c r="F39" s="281"/>
      <c r="G39" s="281"/>
      <c r="H39" s="281"/>
      <c r="I39" s="281"/>
      <c r="J39" s="281"/>
      <c r="K39" s="281"/>
      <c r="L39" s="281"/>
      <c r="M39" s="281"/>
      <c r="N39" s="281"/>
      <c r="O39" s="281"/>
      <c r="P39" s="281"/>
      <c r="Q39" s="281"/>
      <c r="R39" s="281"/>
      <c r="S39" s="281"/>
      <c r="T39" s="281"/>
      <c r="U39" s="281"/>
      <c r="V39" s="281"/>
      <c r="W39" s="283"/>
      <c r="X39" s="283"/>
      <c r="Y39" s="283"/>
      <c r="Z39" s="283"/>
      <c r="AA39" s="283"/>
      <c r="AB39" s="283"/>
      <c r="AC39" s="282"/>
      <c r="AD39" s="282"/>
      <c r="AE39" s="282"/>
      <c r="AF39" s="282"/>
      <c r="AG39" s="282"/>
      <c r="AH39" s="282"/>
      <c r="AI39" s="282"/>
      <c r="AJ39" s="282"/>
      <c r="AK39" s="282"/>
      <c r="AL39" s="282"/>
      <c r="AM39" s="282"/>
      <c r="AN39" s="282"/>
    </row>
    <row r="40" spans="2:40" ht="15" x14ac:dyDescent="0.2">
      <c r="B40" s="185">
        <v>23</v>
      </c>
      <c r="C40" s="184" t="s">
        <v>428</v>
      </c>
      <c r="D40" s="188" t="s">
        <v>426</v>
      </c>
      <c r="E40" s="281"/>
      <c r="F40" s="281"/>
      <c r="G40" s="281"/>
      <c r="H40" s="281"/>
      <c r="I40" s="281"/>
      <c r="J40" s="281"/>
      <c r="K40" s="281"/>
      <c r="L40" s="281"/>
      <c r="M40" s="281"/>
      <c r="N40" s="281"/>
      <c r="O40" s="281"/>
      <c r="P40" s="281"/>
      <c r="Q40" s="281"/>
      <c r="R40" s="281"/>
      <c r="S40" s="281"/>
      <c r="T40" s="281"/>
      <c r="U40" s="281"/>
      <c r="V40" s="281"/>
      <c r="W40" s="283"/>
      <c r="X40" s="283"/>
      <c r="Y40" s="283"/>
      <c r="Z40" s="283"/>
      <c r="AA40" s="283"/>
      <c r="AB40" s="283"/>
      <c r="AC40" s="282"/>
      <c r="AD40" s="282"/>
      <c r="AE40" s="282"/>
      <c r="AF40" s="282"/>
      <c r="AG40" s="282"/>
      <c r="AH40" s="282"/>
      <c r="AI40" s="282"/>
      <c r="AJ40" s="282"/>
      <c r="AK40" s="282"/>
      <c r="AL40" s="282"/>
      <c r="AM40" s="282"/>
      <c r="AN40" s="282"/>
    </row>
    <row r="41" spans="2:40" ht="15" x14ac:dyDescent="0.2">
      <c r="B41" s="185">
        <v>24</v>
      </c>
      <c r="C41" s="184" t="s">
        <v>429</v>
      </c>
      <c r="D41" s="188" t="s">
        <v>426</v>
      </c>
      <c r="E41" s="281"/>
      <c r="F41" s="281"/>
      <c r="G41" s="281"/>
      <c r="H41" s="281"/>
      <c r="I41" s="281"/>
      <c r="J41" s="281"/>
      <c r="K41" s="281"/>
      <c r="L41" s="281"/>
      <c r="M41" s="281"/>
      <c r="N41" s="281"/>
      <c r="O41" s="281"/>
      <c r="P41" s="281"/>
      <c r="Q41" s="281"/>
      <c r="R41" s="281"/>
      <c r="S41" s="281"/>
      <c r="T41" s="281"/>
      <c r="U41" s="281"/>
      <c r="V41" s="281"/>
      <c r="W41" s="283"/>
      <c r="X41" s="283"/>
      <c r="Y41" s="283"/>
      <c r="Z41" s="283"/>
      <c r="AA41" s="283"/>
      <c r="AB41" s="283"/>
      <c r="AC41" s="282"/>
      <c r="AD41" s="282"/>
      <c r="AE41" s="282"/>
      <c r="AF41" s="282"/>
      <c r="AG41" s="282"/>
      <c r="AH41" s="282"/>
      <c r="AI41" s="282"/>
      <c r="AJ41" s="282"/>
      <c r="AK41" s="282"/>
      <c r="AL41" s="282"/>
      <c r="AM41" s="282"/>
      <c r="AN41" s="282"/>
    </row>
    <row r="42" spans="2:40" ht="15" x14ac:dyDescent="0.2">
      <c r="B42" s="185">
        <v>25</v>
      </c>
      <c r="C42" s="184" t="s">
        <v>430</v>
      </c>
      <c r="D42" s="188" t="s">
        <v>426</v>
      </c>
      <c r="E42" s="281"/>
      <c r="F42" s="281"/>
      <c r="G42" s="281"/>
      <c r="H42" s="281"/>
      <c r="I42" s="281"/>
      <c r="J42" s="281"/>
      <c r="K42" s="281"/>
      <c r="L42" s="281"/>
      <c r="M42" s="281"/>
      <c r="N42" s="281"/>
      <c r="O42" s="281"/>
      <c r="P42" s="281"/>
      <c r="Q42" s="281"/>
      <c r="R42" s="281"/>
      <c r="S42" s="281"/>
      <c r="T42" s="281"/>
      <c r="U42" s="281"/>
      <c r="V42" s="281"/>
      <c r="W42" s="283"/>
      <c r="X42" s="283"/>
      <c r="Y42" s="283"/>
      <c r="Z42" s="283"/>
      <c r="AA42" s="283"/>
      <c r="AB42" s="283"/>
      <c r="AC42" s="282"/>
      <c r="AD42" s="282"/>
      <c r="AE42" s="282"/>
      <c r="AF42" s="282"/>
      <c r="AG42" s="282"/>
      <c r="AH42" s="282"/>
      <c r="AI42" s="282"/>
      <c r="AJ42" s="282"/>
      <c r="AK42" s="282"/>
      <c r="AL42" s="282"/>
      <c r="AM42" s="282"/>
      <c r="AN42" s="282"/>
    </row>
    <row r="43" spans="2:40" ht="15" x14ac:dyDescent="0.2">
      <c r="B43" s="185">
        <v>26</v>
      </c>
      <c r="C43" s="184" t="s">
        <v>431</v>
      </c>
      <c r="D43" s="188" t="s">
        <v>426</v>
      </c>
      <c r="E43" s="281"/>
      <c r="F43" s="281"/>
      <c r="G43" s="281"/>
      <c r="H43" s="281"/>
      <c r="I43" s="281"/>
      <c r="J43" s="281"/>
      <c r="K43" s="281"/>
      <c r="L43" s="281"/>
      <c r="M43" s="281"/>
      <c r="N43" s="281"/>
      <c r="O43" s="281"/>
      <c r="P43" s="281"/>
      <c r="Q43" s="281"/>
      <c r="R43" s="281"/>
      <c r="S43" s="281"/>
      <c r="T43" s="281"/>
      <c r="U43" s="281"/>
      <c r="V43" s="281"/>
      <c r="W43" s="283"/>
      <c r="X43" s="283"/>
      <c r="Y43" s="283"/>
      <c r="Z43" s="283"/>
      <c r="AA43" s="283"/>
      <c r="AB43" s="283"/>
      <c r="AC43" s="282"/>
      <c r="AD43" s="282"/>
      <c r="AE43" s="282"/>
      <c r="AF43" s="282"/>
      <c r="AG43" s="282"/>
      <c r="AH43" s="282"/>
      <c r="AI43" s="282"/>
      <c r="AJ43" s="282"/>
      <c r="AK43" s="282"/>
      <c r="AL43" s="282"/>
      <c r="AM43" s="282"/>
      <c r="AN43" s="282"/>
    </row>
    <row r="44" spans="2:40" ht="15" x14ac:dyDescent="0.2">
      <c r="B44" s="185">
        <v>27</v>
      </c>
      <c r="C44" s="184" t="s">
        <v>432</v>
      </c>
      <c r="D44" s="188" t="s">
        <v>426</v>
      </c>
      <c r="E44" s="281"/>
      <c r="F44" s="281"/>
      <c r="G44" s="281"/>
      <c r="H44" s="281"/>
      <c r="I44" s="281"/>
      <c r="J44" s="281"/>
      <c r="K44" s="281"/>
      <c r="L44" s="281"/>
      <c r="M44" s="281"/>
      <c r="N44" s="281"/>
      <c r="O44" s="281"/>
      <c r="P44" s="281"/>
      <c r="Q44" s="281"/>
      <c r="R44" s="281"/>
      <c r="S44" s="281"/>
      <c r="T44" s="281"/>
      <c r="U44" s="281"/>
      <c r="V44" s="281"/>
      <c r="W44" s="283"/>
      <c r="X44" s="283"/>
      <c r="Y44" s="283"/>
      <c r="Z44" s="283"/>
      <c r="AA44" s="283"/>
      <c r="AB44" s="283"/>
      <c r="AC44" s="282"/>
      <c r="AD44" s="282"/>
      <c r="AE44" s="282"/>
      <c r="AF44" s="282"/>
      <c r="AG44" s="282"/>
      <c r="AH44" s="282"/>
      <c r="AI44" s="282"/>
      <c r="AJ44" s="282"/>
      <c r="AK44" s="282"/>
      <c r="AL44" s="282"/>
      <c r="AM44" s="282"/>
      <c r="AN44" s="282"/>
    </row>
    <row r="45" spans="2:40" ht="15" x14ac:dyDescent="0.2">
      <c r="B45" s="185">
        <v>28</v>
      </c>
      <c r="C45" s="184" t="s">
        <v>433</v>
      </c>
      <c r="D45" s="188" t="s">
        <v>426</v>
      </c>
      <c r="E45" s="281"/>
      <c r="F45" s="281"/>
      <c r="G45" s="281"/>
      <c r="H45" s="281"/>
      <c r="I45" s="281"/>
      <c r="J45" s="281"/>
      <c r="K45" s="281"/>
      <c r="L45" s="281"/>
      <c r="M45" s="281"/>
      <c r="N45" s="281"/>
      <c r="O45" s="281"/>
      <c r="P45" s="281"/>
      <c r="Q45" s="281"/>
      <c r="R45" s="281"/>
      <c r="S45" s="281"/>
      <c r="T45" s="281"/>
      <c r="U45" s="281"/>
      <c r="V45" s="281"/>
      <c r="W45" s="283"/>
      <c r="X45" s="283"/>
      <c r="Y45" s="283"/>
      <c r="Z45" s="283"/>
      <c r="AA45" s="283"/>
      <c r="AB45" s="283"/>
      <c r="AC45" s="282"/>
      <c r="AD45" s="282"/>
      <c r="AE45" s="282"/>
      <c r="AF45" s="282"/>
      <c r="AG45" s="282"/>
      <c r="AH45" s="282"/>
      <c r="AI45" s="282"/>
      <c r="AJ45" s="282"/>
      <c r="AK45" s="282"/>
      <c r="AL45" s="282"/>
      <c r="AM45" s="282"/>
      <c r="AN45" s="282"/>
    </row>
    <row r="46" spans="2:40" ht="15" x14ac:dyDescent="0.2">
      <c r="B46" s="185">
        <v>29</v>
      </c>
      <c r="C46" s="184" t="s">
        <v>434</v>
      </c>
      <c r="D46" s="188" t="s">
        <v>426</v>
      </c>
      <c r="E46" s="281"/>
      <c r="F46" s="281"/>
      <c r="G46" s="281"/>
      <c r="H46" s="281"/>
      <c r="I46" s="281"/>
      <c r="J46" s="281"/>
      <c r="K46" s="281"/>
      <c r="L46" s="281"/>
      <c r="M46" s="281"/>
      <c r="N46" s="281"/>
      <c r="O46" s="281"/>
      <c r="P46" s="281"/>
      <c r="Q46" s="281"/>
      <c r="R46" s="281"/>
      <c r="S46" s="281"/>
      <c r="T46" s="281"/>
      <c r="U46" s="281"/>
      <c r="V46" s="281"/>
      <c r="W46" s="283"/>
      <c r="X46" s="283"/>
      <c r="Y46" s="283"/>
      <c r="Z46" s="283"/>
      <c r="AA46" s="283"/>
      <c r="AB46" s="283"/>
      <c r="AC46" s="282"/>
      <c r="AD46" s="282"/>
      <c r="AE46" s="282"/>
      <c r="AF46" s="282"/>
      <c r="AG46" s="282"/>
      <c r="AH46" s="282"/>
      <c r="AI46" s="282"/>
      <c r="AJ46" s="282"/>
      <c r="AK46" s="282"/>
      <c r="AL46" s="282"/>
      <c r="AM46" s="282"/>
      <c r="AN46" s="282"/>
    </row>
    <row r="47" spans="2:40" ht="15" x14ac:dyDescent="0.2">
      <c r="B47" s="185">
        <v>30</v>
      </c>
      <c r="C47" s="184" t="s">
        <v>435</v>
      </c>
      <c r="D47" s="188" t="s">
        <v>472</v>
      </c>
      <c r="E47" s="348">
        <v>9819</v>
      </c>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49"/>
      <c r="AK47" s="349"/>
      <c r="AL47" s="349"/>
      <c r="AM47" s="349"/>
      <c r="AN47" s="349"/>
    </row>
    <row r="48" spans="2:40" x14ac:dyDescent="0.2">
      <c r="E48" s="284"/>
      <c r="F48" s="284"/>
      <c r="G48" s="284"/>
      <c r="H48" s="284"/>
      <c r="I48" s="284"/>
      <c r="J48" s="284"/>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4"/>
      <c r="AI48" s="284"/>
      <c r="AJ48" s="284"/>
      <c r="AK48" s="284"/>
      <c r="AL48" s="284"/>
      <c r="AM48" s="284"/>
      <c r="AN48" s="284"/>
    </row>
    <row r="49" spans="2:40" ht="15" x14ac:dyDescent="0.2">
      <c r="B49" s="197" t="s">
        <v>232</v>
      </c>
      <c r="E49" s="284"/>
      <c r="F49" s="284"/>
      <c r="G49" s="284"/>
      <c r="H49" s="284"/>
      <c r="I49" s="284"/>
      <c r="J49" s="284"/>
      <c r="K49" s="284"/>
      <c r="L49" s="284"/>
      <c r="M49" s="284"/>
      <c r="N49" s="284"/>
      <c r="O49" s="284"/>
      <c r="P49" s="284"/>
      <c r="Q49" s="284"/>
      <c r="R49" s="284"/>
      <c r="S49" s="284"/>
      <c r="T49" s="284"/>
      <c r="U49" s="284"/>
      <c r="V49" s="284"/>
      <c r="W49" s="284"/>
      <c r="X49" s="284"/>
      <c r="Y49" s="284"/>
      <c r="Z49" s="284"/>
      <c r="AA49" s="284"/>
      <c r="AB49" s="284"/>
      <c r="AC49" s="284"/>
      <c r="AD49" s="284"/>
      <c r="AE49" s="284"/>
      <c r="AF49" s="284"/>
      <c r="AG49" s="284"/>
      <c r="AH49" s="284"/>
      <c r="AI49" s="284"/>
      <c r="AJ49" s="284"/>
      <c r="AK49" s="284"/>
      <c r="AL49" s="284"/>
      <c r="AM49" s="284"/>
      <c r="AN49" s="284"/>
    </row>
    <row r="50" spans="2:40" ht="14.25" x14ac:dyDescent="0.2">
      <c r="B50" s="184"/>
      <c r="C50" s="184" t="s">
        <v>14</v>
      </c>
      <c r="D50" s="164"/>
      <c r="E50" s="282"/>
      <c r="F50" s="282"/>
      <c r="G50" s="282"/>
      <c r="H50" s="282"/>
      <c r="I50" s="282"/>
      <c r="J50" s="282"/>
      <c r="K50" s="282"/>
      <c r="L50" s="282"/>
      <c r="M50" s="282"/>
      <c r="N50" s="282"/>
      <c r="O50" s="282"/>
      <c r="P50" s="282"/>
      <c r="Q50" s="282"/>
      <c r="R50" s="282"/>
      <c r="S50" s="282"/>
      <c r="T50" s="282"/>
      <c r="U50" s="282"/>
      <c r="V50" s="282"/>
      <c r="W50" s="282"/>
      <c r="X50" s="282"/>
      <c r="Y50" s="282"/>
      <c r="Z50" s="282"/>
      <c r="AA50" s="282"/>
      <c r="AB50" s="282"/>
      <c r="AC50" s="282"/>
      <c r="AD50" s="282"/>
      <c r="AE50" s="282"/>
      <c r="AF50" s="282"/>
      <c r="AG50" s="282"/>
      <c r="AH50" s="282"/>
      <c r="AI50" s="282"/>
      <c r="AJ50" s="282"/>
      <c r="AK50" s="282"/>
      <c r="AL50" s="282"/>
      <c r="AM50" s="282"/>
      <c r="AN50" s="282"/>
    </row>
    <row r="51" spans="2:40" ht="14.25" x14ac:dyDescent="0.2">
      <c r="B51" s="184">
        <v>1</v>
      </c>
      <c r="C51" s="184" t="s">
        <v>460</v>
      </c>
      <c r="D51" s="164" t="s">
        <v>411</v>
      </c>
      <c r="E51" s="282">
        <v>69.417000000000002</v>
      </c>
      <c r="F51" s="282">
        <v>4.1660000000000004</v>
      </c>
      <c r="G51" s="282">
        <v>147.524</v>
      </c>
      <c r="H51" s="282">
        <v>9.9989999999999988</v>
      </c>
      <c r="I51" s="282">
        <v>382.93399999999997</v>
      </c>
      <c r="J51" s="282">
        <v>15</v>
      </c>
      <c r="K51" s="282">
        <v>21.972000000000001</v>
      </c>
      <c r="L51" s="282">
        <v>0</v>
      </c>
      <c r="M51" s="282">
        <v>465.59300000000002</v>
      </c>
      <c r="N51" s="282">
        <v>48.835999999999999</v>
      </c>
      <c r="O51" s="282">
        <v>285.822</v>
      </c>
      <c r="P51" s="282">
        <v>22.498999999999999</v>
      </c>
      <c r="Q51" s="282">
        <v>72.193000000000012</v>
      </c>
      <c r="R51" s="282">
        <v>5</v>
      </c>
      <c r="S51" s="282">
        <v>147.523</v>
      </c>
      <c r="T51" s="282">
        <v>6.6660000000000004</v>
      </c>
      <c r="U51" s="282">
        <v>100.44199999999999</v>
      </c>
      <c r="V51" s="282">
        <v>3.3330000000000002</v>
      </c>
      <c r="W51" s="282">
        <v>211.399</v>
      </c>
      <c r="X51" s="282">
        <v>10</v>
      </c>
      <c r="Y51" s="282">
        <v>119.274</v>
      </c>
      <c r="Z51" s="282">
        <v>2.5</v>
      </c>
      <c r="AA51" s="282">
        <v>9.0499999999999989</v>
      </c>
      <c r="AB51" s="282">
        <v>0</v>
      </c>
      <c r="AC51" s="282">
        <v>40.804000000000002</v>
      </c>
      <c r="AD51" s="282">
        <v>5.8330000000000002</v>
      </c>
      <c r="AE51" s="282">
        <v>94.163999999999987</v>
      </c>
      <c r="AF51" s="282">
        <v>3.3330000000000002</v>
      </c>
      <c r="AG51" s="282">
        <v>659.16200000000003</v>
      </c>
      <c r="AH51" s="282">
        <v>38.159999999999997</v>
      </c>
      <c r="AI51" s="282">
        <v>305.113</v>
      </c>
      <c r="AJ51" s="282">
        <v>22.334</v>
      </c>
      <c r="AK51" s="282">
        <v>412.37</v>
      </c>
      <c r="AL51" s="282">
        <v>45.2</v>
      </c>
      <c r="AM51" s="282">
        <v>233.81099999999998</v>
      </c>
      <c r="AN51" s="282">
        <v>17.100000000000001</v>
      </c>
    </row>
    <row r="52" spans="2:40" ht="14.25" x14ac:dyDescent="0.2">
      <c r="B52" s="184">
        <v>2</v>
      </c>
      <c r="C52" s="184" t="s">
        <v>461</v>
      </c>
      <c r="D52" s="164" t="s">
        <v>412</v>
      </c>
      <c r="E52" s="282">
        <v>0.42415112090596835</v>
      </c>
      <c r="F52" s="282">
        <v>3.3686282895400051E-2</v>
      </c>
      <c r="G52" s="282">
        <v>0.90139980063287184</v>
      </c>
      <c r="H52" s="282">
        <v>8.0851930549953197E-2</v>
      </c>
      <c r="I52" s="282">
        <v>2.3397998376911424</v>
      </c>
      <c r="J52" s="282">
        <v>0.12129002482741257</v>
      </c>
      <c r="K52" s="282">
        <v>0.13425311420179403</v>
      </c>
      <c r="L52" s="282">
        <v>0</v>
      </c>
      <c r="M52" s="282">
        <v>2.9103814630101699</v>
      </c>
      <c r="N52" s="282">
        <v>0.38649244206459532</v>
      </c>
      <c r="O52" s="282">
        <v>1.7722617252172326</v>
      </c>
      <c r="P52" s="282">
        <v>0.17805908456899275</v>
      </c>
      <c r="Q52" s="282">
        <v>0.44763835788920259</v>
      </c>
      <c r="R52" s="282">
        <v>3.9570444146182666E-2</v>
      </c>
      <c r="S52" s="282">
        <v>0.91472793028255961</v>
      </c>
      <c r="T52" s="282">
        <v>5.2755316135690719E-2</v>
      </c>
      <c r="U52" s="282">
        <v>0.62279849768131645</v>
      </c>
      <c r="V52" s="282">
        <v>2.6377658067845366E-2</v>
      </c>
      <c r="W52" s="282">
        <v>1.3077622248556866</v>
      </c>
      <c r="X52" s="282">
        <v>7.9140888292365333E-2</v>
      </c>
      <c r="Y52" s="282">
        <v>0.73785605233438745</v>
      </c>
      <c r="Z52" s="282">
        <v>1.9785222073091333E-2</v>
      </c>
      <c r="AA52" s="282">
        <v>5.6565404670875681E-2</v>
      </c>
      <c r="AB52" s="282">
        <v>0</v>
      </c>
      <c r="AC52" s="282">
        <v>0.25503809637463148</v>
      </c>
      <c r="AD52" s="282">
        <v>4.6162880140936682E-2</v>
      </c>
      <c r="AE52" s="282">
        <v>0.58480050543540096</v>
      </c>
      <c r="AF52" s="282">
        <v>2.6377658067845356E-2</v>
      </c>
      <c r="AG52" s="282">
        <v>4.0560180164910848</v>
      </c>
      <c r="AH52" s="282">
        <v>0.28978441649784065</v>
      </c>
      <c r="AI52" s="282">
        <v>1.8742856474319294</v>
      </c>
      <c r="AJ52" s="282">
        <v>0.16849564031421282</v>
      </c>
      <c r="AK52" s="282">
        <v>2.5212412065795093</v>
      </c>
      <c r="AL52" s="282">
        <v>0.34158281048888917</v>
      </c>
      <c r="AM52" s="282">
        <v>1.4244404999348363</v>
      </c>
      <c r="AN52" s="282">
        <v>0.12922712520707977</v>
      </c>
    </row>
    <row r="53" spans="2:40" s="266" customFormat="1" ht="15" x14ac:dyDescent="0.2">
      <c r="B53" s="181">
        <v>3</v>
      </c>
      <c r="C53" s="181" t="s">
        <v>462</v>
      </c>
      <c r="D53" s="287" t="s">
        <v>423</v>
      </c>
      <c r="E53" s="346">
        <v>62220.54058700629</v>
      </c>
      <c r="F53" s="347"/>
      <c r="G53" s="346">
        <v>62356.083313727213</v>
      </c>
      <c r="H53" s="347"/>
      <c r="I53" s="346">
        <v>61846.684689384558</v>
      </c>
      <c r="J53" s="347"/>
      <c r="K53" s="346">
        <v>61101.908884850731</v>
      </c>
      <c r="L53" s="347"/>
      <c r="M53" s="346">
        <v>64088.025851473481</v>
      </c>
      <c r="N53" s="347"/>
      <c r="O53" s="346">
        <v>63256.178132083936</v>
      </c>
      <c r="P53" s="347"/>
      <c r="Q53" s="346">
        <v>63115.671373749581</v>
      </c>
      <c r="R53" s="347"/>
      <c r="S53" s="346">
        <v>62746.580263070027</v>
      </c>
      <c r="T53" s="347"/>
      <c r="U53" s="346">
        <v>62556.121970528722</v>
      </c>
      <c r="V53" s="347"/>
      <c r="W53" s="346">
        <v>62642.699973714967</v>
      </c>
      <c r="X53" s="347"/>
      <c r="Y53" s="346">
        <v>62216.998243260357</v>
      </c>
      <c r="Z53" s="347"/>
      <c r="AA53" s="346">
        <v>62503.20958107811</v>
      </c>
      <c r="AB53" s="347"/>
      <c r="AC53" s="346">
        <v>64584.123446098194</v>
      </c>
      <c r="AD53" s="347"/>
      <c r="AE53" s="346">
        <v>62686.868673215205</v>
      </c>
      <c r="AF53" s="347"/>
      <c r="AG53" s="346">
        <v>62321.315446650551</v>
      </c>
      <c r="AH53" s="347"/>
      <c r="AI53" s="346">
        <v>62385.097061391374</v>
      </c>
      <c r="AJ53" s="347"/>
      <c r="AK53" s="346">
        <v>62565.815439569866</v>
      </c>
      <c r="AL53" s="347"/>
      <c r="AM53" s="346">
        <v>61921.064646106242</v>
      </c>
      <c r="AN53" s="347"/>
    </row>
  </sheetData>
  <mergeCells count="43">
    <mergeCell ref="AI53:AJ53"/>
    <mergeCell ref="AK53:AL53"/>
    <mergeCell ref="AM53:AN53"/>
    <mergeCell ref="E47:AN47"/>
    <mergeCell ref="E53:F53"/>
    <mergeCell ref="G53:H53"/>
    <mergeCell ref="I53:J53"/>
    <mergeCell ref="K53:L53"/>
    <mergeCell ref="M53:N53"/>
    <mergeCell ref="O53:P53"/>
    <mergeCell ref="Q53:R53"/>
    <mergeCell ref="S53:T53"/>
    <mergeCell ref="U53:V53"/>
    <mergeCell ref="W53:X53"/>
    <mergeCell ref="Y53:Z53"/>
    <mergeCell ref="AA53:AB53"/>
    <mergeCell ref="AC53:AD53"/>
    <mergeCell ref="AE53:AF53"/>
    <mergeCell ref="AG53:AH53"/>
    <mergeCell ref="AE6:AF6"/>
    <mergeCell ref="AG6:AH6"/>
    <mergeCell ref="AI6:AJ6"/>
    <mergeCell ref="AK6:AL6"/>
    <mergeCell ref="AM6:AN6"/>
    <mergeCell ref="U6:V6"/>
    <mergeCell ref="W6:X6"/>
    <mergeCell ref="Y6:Z6"/>
    <mergeCell ref="AA6:AB6"/>
    <mergeCell ref="AC6:AD6"/>
    <mergeCell ref="B6:B7"/>
    <mergeCell ref="C6:C7"/>
    <mergeCell ref="B2:V2"/>
    <mergeCell ref="B3:V3"/>
    <mergeCell ref="B4:V4"/>
    <mergeCell ref="D6:D7"/>
    <mergeCell ref="E6:F6"/>
    <mergeCell ref="G6:H6"/>
    <mergeCell ref="I6:J6"/>
    <mergeCell ref="K6:L6"/>
    <mergeCell ref="M6:N6"/>
    <mergeCell ref="O6:P6"/>
    <mergeCell ref="Q6:R6"/>
    <mergeCell ref="S6:T6"/>
  </mergeCells>
  <pageMargins left="0.25" right="0.2" top="0.25" bottom="0.25" header="0.3" footer="0.3"/>
  <pageSetup paperSize="9" scale="72" fitToWidth="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9"/>
  <sheetViews>
    <sheetView showGridLines="0" view="pageBreakPreview" zoomScaleNormal="91" zoomScaleSheetLayoutView="100" workbookViewId="0">
      <selection activeCell="K20" sqref="K20"/>
    </sheetView>
  </sheetViews>
  <sheetFormatPr defaultColWidth="9.28515625" defaultRowHeight="14.25" x14ac:dyDescent="0.2"/>
  <cols>
    <col min="1" max="1" width="2.42578125" style="86" customWidth="1"/>
    <col min="2" max="2" width="31.7109375" style="86" customWidth="1"/>
    <col min="3" max="3" width="8.42578125" style="86" customWidth="1"/>
    <col min="4" max="4" width="9.28515625" style="86" customWidth="1"/>
    <col min="5" max="5" width="10.5703125" style="86" customWidth="1"/>
    <col min="6" max="6" width="9.28515625" style="86" customWidth="1"/>
    <col min="7" max="7" width="13.42578125" style="86" customWidth="1"/>
    <col min="8" max="8" width="10.85546875" style="86" customWidth="1"/>
    <col min="9" max="9" width="10.7109375" style="86" customWidth="1"/>
    <col min="10" max="10" width="10.85546875" style="86" customWidth="1"/>
    <col min="11" max="11" width="11.140625" style="86" customWidth="1"/>
    <col min="12" max="16384" width="9.28515625" style="86"/>
  </cols>
  <sheetData>
    <row r="2" spans="2:11" ht="15" x14ac:dyDescent="0.2">
      <c r="G2" s="32" t="s">
        <v>383</v>
      </c>
    </row>
    <row r="3" spans="2:11" ht="15" x14ac:dyDescent="0.2">
      <c r="G3" s="32" t="s">
        <v>448</v>
      </c>
    </row>
    <row r="4" spans="2:11" ht="15" x14ac:dyDescent="0.2">
      <c r="G4" s="35" t="s">
        <v>325</v>
      </c>
    </row>
    <row r="5" spans="2:11" ht="10.5" customHeight="1" x14ac:dyDescent="0.2"/>
    <row r="6" spans="2:11" ht="15" x14ac:dyDescent="0.2">
      <c r="B6" s="350" t="s">
        <v>14</v>
      </c>
      <c r="C6" s="350" t="s">
        <v>200</v>
      </c>
      <c r="D6" s="350" t="s">
        <v>35</v>
      </c>
      <c r="E6" s="308" t="s">
        <v>384</v>
      </c>
      <c r="F6" s="309"/>
      <c r="G6" s="310"/>
      <c r="H6" s="308" t="s">
        <v>385</v>
      </c>
      <c r="I6" s="310"/>
      <c r="J6" s="308" t="s">
        <v>445</v>
      </c>
      <c r="K6" s="310"/>
    </row>
    <row r="7" spans="2:11" ht="50.25" customHeight="1" x14ac:dyDescent="0.2">
      <c r="B7" s="350"/>
      <c r="C7" s="350"/>
      <c r="D7" s="350"/>
      <c r="E7" s="15" t="s">
        <v>375</v>
      </c>
      <c r="F7" s="15" t="s">
        <v>230</v>
      </c>
      <c r="G7" s="15" t="s">
        <v>199</v>
      </c>
      <c r="H7" s="15" t="s">
        <v>375</v>
      </c>
      <c r="I7" s="15" t="s">
        <v>229</v>
      </c>
      <c r="J7" s="15" t="s">
        <v>375</v>
      </c>
      <c r="K7" s="15" t="s">
        <v>219</v>
      </c>
    </row>
    <row r="8" spans="2:11" ht="30" x14ac:dyDescent="0.2">
      <c r="B8" s="350"/>
      <c r="C8" s="350"/>
      <c r="D8" s="350"/>
      <c r="E8" s="15" t="s">
        <v>10</v>
      </c>
      <c r="F8" s="15" t="s">
        <v>12</v>
      </c>
      <c r="G8" s="15" t="s">
        <v>221</v>
      </c>
      <c r="H8" s="15" t="s">
        <v>10</v>
      </c>
      <c r="I8" s="15" t="s">
        <v>5</v>
      </c>
      <c r="J8" s="15" t="s">
        <v>10</v>
      </c>
      <c r="K8" s="15" t="s">
        <v>8</v>
      </c>
    </row>
    <row r="9" spans="2:11" x14ac:dyDescent="0.2">
      <c r="B9" s="90" t="s">
        <v>165</v>
      </c>
      <c r="C9" s="93" t="s">
        <v>332</v>
      </c>
      <c r="D9" s="93" t="s">
        <v>37</v>
      </c>
      <c r="E9" s="28">
        <v>5.25</v>
      </c>
      <c r="F9" s="96">
        <f>'F10'!F26</f>
        <v>4.9578155486009408</v>
      </c>
      <c r="G9" s="96">
        <f t="shared" ref="G9:G16" si="0">F9</f>
        <v>4.9578155486009408</v>
      </c>
      <c r="H9" s="96">
        <v>5.25</v>
      </c>
      <c r="I9" s="96">
        <v>5.25</v>
      </c>
      <c r="J9" s="96">
        <v>5.25</v>
      </c>
      <c r="K9" s="96">
        <v>5.25</v>
      </c>
    </row>
    <row r="10" spans="2:11" x14ac:dyDescent="0.2">
      <c r="B10" s="91" t="s">
        <v>198</v>
      </c>
      <c r="C10" s="94" t="s">
        <v>342</v>
      </c>
      <c r="D10" s="94" t="s">
        <v>44</v>
      </c>
      <c r="E10" s="28">
        <v>2450</v>
      </c>
      <c r="F10" s="97">
        <f>'F10'!F32</f>
        <v>2275.6433416740865</v>
      </c>
      <c r="G10" s="97">
        <f t="shared" si="0"/>
        <v>2275.6433416740865</v>
      </c>
      <c r="H10" s="97">
        <v>2450</v>
      </c>
      <c r="I10" s="97">
        <v>2450</v>
      </c>
      <c r="J10" s="97">
        <f t="shared" ref="J10:J16" si="1">H10</f>
        <v>2450</v>
      </c>
      <c r="K10" s="97">
        <f t="shared" ref="K10:K16" si="2">I10</f>
        <v>2450</v>
      </c>
    </row>
    <row r="11" spans="2:11" x14ac:dyDescent="0.2">
      <c r="B11" s="90" t="s">
        <v>326</v>
      </c>
      <c r="C11" s="93" t="s">
        <v>333</v>
      </c>
      <c r="D11" s="93" t="s">
        <v>46</v>
      </c>
      <c r="E11" s="28">
        <v>0.5</v>
      </c>
      <c r="F11" s="96">
        <f>'F10'!F36</f>
        <v>0.12658314455196615</v>
      </c>
      <c r="G11" s="96">
        <f t="shared" si="0"/>
        <v>0.12658314455196615</v>
      </c>
      <c r="H11" s="126">
        <f t="shared" ref="H11:H16" si="3">I11</f>
        <v>0.5</v>
      </c>
      <c r="I11" s="126">
        <v>0.5</v>
      </c>
      <c r="J11" s="126">
        <f t="shared" si="1"/>
        <v>0.5</v>
      </c>
      <c r="K11" s="126">
        <f t="shared" si="2"/>
        <v>0.5</v>
      </c>
    </row>
    <row r="12" spans="2:11" x14ac:dyDescent="0.2">
      <c r="B12" s="90" t="s">
        <v>327</v>
      </c>
      <c r="C12" s="93" t="s">
        <v>334</v>
      </c>
      <c r="D12" s="93" t="s">
        <v>335</v>
      </c>
      <c r="E12" s="97">
        <f>F12</f>
        <v>9819</v>
      </c>
      <c r="F12" s="97">
        <v>9819</v>
      </c>
      <c r="G12" s="97">
        <f t="shared" si="0"/>
        <v>9819</v>
      </c>
      <c r="H12" s="97">
        <f t="shared" si="3"/>
        <v>9819</v>
      </c>
      <c r="I12" s="97">
        <v>9819</v>
      </c>
      <c r="J12" s="97">
        <f t="shared" si="1"/>
        <v>9819</v>
      </c>
      <c r="K12" s="97">
        <f t="shared" si="2"/>
        <v>9819</v>
      </c>
    </row>
    <row r="13" spans="2:11" x14ac:dyDescent="0.2">
      <c r="B13" s="90" t="s">
        <v>328</v>
      </c>
      <c r="C13" s="93" t="s">
        <v>336</v>
      </c>
      <c r="D13" s="93" t="s">
        <v>337</v>
      </c>
      <c r="E13" s="96">
        <f>F13</f>
        <v>6.2365808370785501E-2</v>
      </c>
      <c r="F13" s="96">
        <v>6.2365808370785501E-2</v>
      </c>
      <c r="G13" s="96">
        <f t="shared" si="0"/>
        <v>6.2365808370785501E-2</v>
      </c>
      <c r="H13" s="96">
        <f>61859.1019140812/1000000</f>
        <v>6.1859101914081199E-2</v>
      </c>
      <c r="I13" s="96">
        <f>H13</f>
        <v>6.1859101914081199E-2</v>
      </c>
      <c r="J13" s="96">
        <f>K13</f>
        <v>6.3670788143478901E-2</v>
      </c>
      <c r="K13" s="96">
        <f>63670.7881434789/1000000</f>
        <v>6.3670788143478901E-2</v>
      </c>
    </row>
    <row r="14" spans="2:11" x14ac:dyDescent="0.2">
      <c r="B14" s="90" t="s">
        <v>343</v>
      </c>
      <c r="C14" s="93" t="s">
        <v>338</v>
      </c>
      <c r="D14" s="93" t="s">
        <v>312</v>
      </c>
      <c r="E14" s="97">
        <f>F14</f>
        <v>3574.404</v>
      </c>
      <c r="F14" s="97">
        <v>3574.404</v>
      </c>
      <c r="G14" s="97">
        <f>F14</f>
        <v>3574.404</v>
      </c>
      <c r="H14" s="97">
        <v>3411.5263405504361</v>
      </c>
      <c r="I14" s="97">
        <v>3453.3689583055534</v>
      </c>
      <c r="J14" s="97">
        <f t="shared" ref="J14:J15" si="4">K14</f>
        <v>3584.3234033583926</v>
      </c>
      <c r="K14" s="97">
        <v>3584.3234033583926</v>
      </c>
    </row>
    <row r="15" spans="2:11" x14ac:dyDescent="0.2">
      <c r="B15" s="90" t="s">
        <v>329</v>
      </c>
      <c r="C15" s="93" t="s">
        <v>339</v>
      </c>
      <c r="D15" s="93" t="s">
        <v>340</v>
      </c>
      <c r="E15" s="96">
        <f>F15</f>
        <v>5.6898992295309094</v>
      </c>
      <c r="F15" s="96">
        <v>5.6898992295309094</v>
      </c>
      <c r="G15" s="96">
        <f t="shared" si="0"/>
        <v>5.6898992295309094</v>
      </c>
      <c r="H15" s="96">
        <f>5419.53139533578/1000</f>
        <v>5.4195313953357802</v>
      </c>
      <c r="I15" s="96">
        <f t="shared" ref="I15" si="5">H15</f>
        <v>5.4195313953357802</v>
      </c>
      <c r="J15" s="96">
        <f t="shared" si="4"/>
        <v>5.3051163352841906</v>
      </c>
      <c r="K15" s="96">
        <f>5305.11633528419/1000</f>
        <v>5.3051163352841906</v>
      </c>
    </row>
    <row r="16" spans="2:11" x14ac:dyDescent="0.2">
      <c r="B16" s="90" t="s">
        <v>330</v>
      </c>
      <c r="C16" s="93"/>
      <c r="D16" s="93" t="s">
        <v>341</v>
      </c>
      <c r="E16" s="96">
        <f>(E10-(E11*E12/1000))/E14</f>
        <v>0.68405543973205041</v>
      </c>
      <c r="F16" s="96">
        <f>(F10-(F11*F12/1000))/F14</f>
        <v>0.63630200217371358</v>
      </c>
      <c r="G16" s="96">
        <f t="shared" si="0"/>
        <v>0.63630200217371358</v>
      </c>
      <c r="H16" s="96">
        <f t="shared" si="3"/>
        <v>0.70803048545375225</v>
      </c>
      <c r="I16" s="96">
        <f>(I10-(I11*I12/1000))/I14</f>
        <v>0.70803048545375225</v>
      </c>
      <c r="J16" s="96">
        <f t="shared" si="1"/>
        <v>0.70803048545375225</v>
      </c>
      <c r="K16" s="96">
        <f t="shared" si="2"/>
        <v>0.70803048545375225</v>
      </c>
    </row>
    <row r="17" spans="2:11" ht="15" x14ac:dyDescent="0.2">
      <c r="B17" s="90" t="s">
        <v>388</v>
      </c>
      <c r="C17" s="93"/>
      <c r="D17" s="92" t="s">
        <v>195</v>
      </c>
      <c r="E17" s="128">
        <f>IFERROR(((E10-E11*E12/1000)*E15/E14)*100/(100-E9),0)</f>
        <v>4.1078696775597061</v>
      </c>
      <c r="F17" s="128">
        <f>IFERROR(((F10-F11*F12/1000)*F15/F14)*100/(100-F9),0)</f>
        <v>3.8093550698727574</v>
      </c>
      <c r="G17" s="128">
        <f>IFERROR(((G10-G11*G12/1000)*G15/G14)*100/(100-G9),0)</f>
        <v>3.8093550698727574</v>
      </c>
      <c r="H17" s="128">
        <f t="shared" ref="H17:K17" si="6">ROUND(IFERROR(((H10-H11*H12/1000)*H15/H14)*100/(100-H9),0),3)</f>
        <v>4.0990000000000002</v>
      </c>
      <c r="I17" s="128">
        <f t="shared" si="6"/>
        <v>4.05</v>
      </c>
      <c r="J17" s="128">
        <f t="shared" si="6"/>
        <v>3.819</v>
      </c>
      <c r="K17" s="128">
        <f t="shared" si="6"/>
        <v>3.819</v>
      </c>
    </row>
    <row r="18" spans="2:11" ht="15" x14ac:dyDescent="0.2">
      <c r="B18" s="90" t="s">
        <v>389</v>
      </c>
      <c r="C18" s="93"/>
      <c r="D18" s="92" t="s">
        <v>195</v>
      </c>
      <c r="E18" s="128">
        <f>IFERROR((E11*E13)*100/(100-E9),0)</f>
        <v>3.2910716818356466E-2</v>
      </c>
      <c r="F18" s="128">
        <f>IFERROR((F11*F13)*100/(100-F9),0)</f>
        <v>8.3062696650625552E-3</v>
      </c>
      <c r="G18" s="128">
        <f>IFERROR((G11*G13)*100/(100-G9),0)</f>
        <v>8.3062696650625552E-3</v>
      </c>
      <c r="H18" s="128">
        <f t="shared" ref="H18:K18" si="7">ROUND(IFERROR((H11*H13)*100/(100-H9),0),3)</f>
        <v>3.3000000000000002E-2</v>
      </c>
      <c r="I18" s="128">
        <f t="shared" si="7"/>
        <v>3.3000000000000002E-2</v>
      </c>
      <c r="J18" s="128">
        <f t="shared" si="7"/>
        <v>3.4000000000000002E-2</v>
      </c>
      <c r="K18" s="128">
        <f t="shared" si="7"/>
        <v>3.4000000000000002E-2</v>
      </c>
    </row>
    <row r="19" spans="2:11" ht="15" x14ac:dyDescent="0.2">
      <c r="B19" s="92" t="s">
        <v>331</v>
      </c>
      <c r="C19" s="93"/>
      <c r="D19" s="92" t="s">
        <v>195</v>
      </c>
      <c r="E19" s="127">
        <f>IFERROR(((E10-E11*E12/1000)*E15/E14+E11*E13)*100/(100-E9),0)</f>
        <v>4.1407803943780621</v>
      </c>
      <c r="F19" s="127">
        <f>IFERROR(((F10-F11*F12/1000)*F15/F14+F11*F13)*100/(100-F9),0)</f>
        <v>3.8176613395378198</v>
      </c>
      <c r="G19" s="127">
        <f>IFERROR(((G10-G11*G12/1000)*G15/G14+G11*G13)*100/(100-G9),0)</f>
        <v>3.8176613395378198</v>
      </c>
      <c r="H19" s="127">
        <f t="shared" ref="H19:K19" si="8">ROUND(IFERROR(((H10-H11*H12/1000)*H15/H14+H11*H13)*100/(100-H9),0),3)</f>
        <v>4.1319999999999997</v>
      </c>
      <c r="I19" s="127">
        <f t="shared" si="8"/>
        <v>4.0819999999999999</v>
      </c>
      <c r="J19" s="127">
        <f t="shared" si="8"/>
        <v>3.8530000000000002</v>
      </c>
      <c r="K19" s="127">
        <f t="shared" si="8"/>
        <v>3.8530000000000002</v>
      </c>
    </row>
  </sheetData>
  <mergeCells count="6">
    <mergeCell ref="J6:K6"/>
    <mergeCell ref="E6:G6"/>
    <mergeCell ref="H6:I6"/>
    <mergeCell ref="B6:B8"/>
    <mergeCell ref="D6:D8"/>
    <mergeCell ref="C6:C8"/>
  </mergeCells>
  <pageMargins left="0.2" right="0.2"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5"/>
  <sheetViews>
    <sheetView showGridLines="0" zoomScale="93" zoomScaleNormal="93" zoomScaleSheetLayoutView="91" workbookViewId="0">
      <selection activeCell="F19" sqref="F19"/>
    </sheetView>
  </sheetViews>
  <sheetFormatPr defaultColWidth="9.28515625" defaultRowHeight="14.25" x14ac:dyDescent="0.2"/>
  <cols>
    <col min="1" max="1" width="3" style="13" customWidth="1"/>
    <col min="2" max="2" width="5.7109375" style="13" customWidth="1"/>
    <col min="3" max="3" width="37" style="13" customWidth="1"/>
    <col min="4" max="5" width="11.5703125" style="13" customWidth="1"/>
    <col min="6" max="6" width="11.85546875" style="13" customWidth="1"/>
    <col min="7" max="7" width="9.7109375" style="13" customWidth="1"/>
    <col min="8" max="8" width="15.140625" style="13" customWidth="1"/>
    <col min="9" max="9" width="11.85546875" style="13" customWidth="1"/>
    <col min="10" max="10" width="10.5703125" style="13" customWidth="1"/>
    <col min="11" max="11" width="12.140625" style="13" customWidth="1"/>
    <col min="12" max="13" width="10.5703125" style="13" customWidth="1"/>
    <col min="14" max="16384" width="9.28515625" style="13"/>
  </cols>
  <sheetData>
    <row r="2" spans="2:13" ht="15" x14ac:dyDescent="0.2">
      <c r="C2" s="5"/>
      <c r="D2" s="5"/>
      <c r="E2" s="5"/>
      <c r="F2" s="32" t="s">
        <v>383</v>
      </c>
      <c r="G2" s="5"/>
      <c r="H2" s="5"/>
      <c r="I2" s="5"/>
      <c r="J2" s="5"/>
      <c r="K2" s="5"/>
      <c r="L2" s="5"/>
      <c r="M2" s="5"/>
    </row>
    <row r="3" spans="2:13" ht="15" x14ac:dyDescent="0.2">
      <c r="C3" s="5"/>
      <c r="D3" s="5"/>
      <c r="E3" s="5"/>
      <c r="F3" s="32" t="s">
        <v>448</v>
      </c>
      <c r="G3" s="5"/>
      <c r="H3" s="5"/>
      <c r="I3" s="5"/>
      <c r="J3" s="5"/>
      <c r="K3" s="5"/>
      <c r="L3" s="5"/>
      <c r="M3" s="5"/>
    </row>
    <row r="4" spans="2:13" s="4" customFormat="1" ht="15.75" x14ac:dyDescent="0.2">
      <c r="C4" s="5"/>
      <c r="D4" s="5"/>
      <c r="F4" s="67" t="s">
        <v>387</v>
      </c>
      <c r="G4" s="5"/>
      <c r="H4" s="5"/>
      <c r="I4" s="5"/>
      <c r="J4" s="5"/>
      <c r="K4" s="5"/>
      <c r="L4" s="5"/>
      <c r="M4" s="5"/>
    </row>
    <row r="6" spans="2:13" ht="12.75" customHeight="1" x14ac:dyDescent="0.2">
      <c r="B6" s="301" t="s">
        <v>186</v>
      </c>
      <c r="C6" s="304" t="s">
        <v>14</v>
      </c>
      <c r="D6" s="298" t="s">
        <v>35</v>
      </c>
      <c r="E6" s="304" t="s">
        <v>1</v>
      </c>
      <c r="F6" s="308" t="s">
        <v>384</v>
      </c>
      <c r="G6" s="309"/>
      <c r="H6" s="310"/>
      <c r="I6" s="308" t="s">
        <v>385</v>
      </c>
      <c r="J6" s="310"/>
      <c r="K6" s="308" t="s">
        <v>445</v>
      </c>
      <c r="L6" s="310"/>
      <c r="M6" s="306" t="s">
        <v>11</v>
      </c>
    </row>
    <row r="7" spans="2:13" ht="60" customHeight="1" x14ac:dyDescent="0.2">
      <c r="B7" s="302"/>
      <c r="C7" s="304"/>
      <c r="D7" s="299"/>
      <c r="E7" s="304"/>
      <c r="F7" s="15" t="s">
        <v>350</v>
      </c>
      <c r="G7" s="15" t="s">
        <v>220</v>
      </c>
      <c r="H7" s="15" t="s">
        <v>444</v>
      </c>
      <c r="I7" s="15" t="s">
        <v>350</v>
      </c>
      <c r="J7" s="15" t="s">
        <v>222</v>
      </c>
      <c r="K7" s="15" t="s">
        <v>350</v>
      </c>
      <c r="L7" s="15" t="s">
        <v>222</v>
      </c>
      <c r="M7" s="306"/>
    </row>
    <row r="8" spans="2:13" ht="30" x14ac:dyDescent="0.2">
      <c r="B8" s="303"/>
      <c r="C8" s="305"/>
      <c r="D8" s="300"/>
      <c r="E8" s="305"/>
      <c r="F8" s="15" t="s">
        <v>10</v>
      </c>
      <c r="G8" s="15" t="s">
        <v>12</v>
      </c>
      <c r="H8" s="15" t="s">
        <v>221</v>
      </c>
      <c r="I8" s="15" t="s">
        <v>10</v>
      </c>
      <c r="J8" s="15" t="s">
        <v>441</v>
      </c>
      <c r="K8" s="15" t="s">
        <v>10</v>
      </c>
      <c r="L8" s="15" t="s">
        <v>441</v>
      </c>
      <c r="M8" s="307"/>
    </row>
    <row r="9" spans="2:13" ht="15" x14ac:dyDescent="0.2">
      <c r="B9" s="22" t="s">
        <v>62</v>
      </c>
      <c r="C9" s="23" t="s">
        <v>225</v>
      </c>
      <c r="D9" s="20"/>
      <c r="E9" s="20"/>
      <c r="F9" s="15"/>
      <c r="G9" s="15"/>
      <c r="H9" s="15"/>
      <c r="I9" s="15"/>
      <c r="J9" s="15"/>
      <c r="K9" s="15"/>
      <c r="L9" s="15"/>
      <c r="M9" s="21"/>
    </row>
    <row r="10" spans="2:13" ht="15" x14ac:dyDescent="0.2">
      <c r="B10" s="2">
        <v>1</v>
      </c>
      <c r="C10" s="3" t="s">
        <v>32</v>
      </c>
      <c r="D10" s="2" t="s">
        <v>196</v>
      </c>
      <c r="E10" s="17" t="s">
        <v>248</v>
      </c>
      <c r="F10" s="156">
        <f>'F2'!E13</f>
        <v>206.97</v>
      </c>
      <c r="G10" s="156">
        <f>'F2'!F13</f>
        <v>285.64999999999998</v>
      </c>
      <c r="H10" s="156">
        <f>'F2'!G13</f>
        <v>285.64999999999998</v>
      </c>
      <c r="I10" s="156">
        <f>'F2'!H13</f>
        <v>218.59</v>
      </c>
      <c r="J10" s="156">
        <f>'F2'!I13</f>
        <v>299.98</v>
      </c>
      <c r="K10" s="156">
        <f>'F2'!J13</f>
        <v>230.86</v>
      </c>
      <c r="L10" s="156">
        <f>'F2'!K13</f>
        <v>312.97000000000003</v>
      </c>
      <c r="M10" s="114"/>
    </row>
    <row r="11" spans="2:13" ht="15" x14ac:dyDescent="0.2">
      <c r="B11" s="2">
        <f t="shared" ref="B11:B16" si="0">B10+1</f>
        <v>2</v>
      </c>
      <c r="C11" s="18" t="s">
        <v>162</v>
      </c>
      <c r="D11" s="2" t="s">
        <v>196</v>
      </c>
      <c r="E11" s="17" t="s">
        <v>19</v>
      </c>
      <c r="F11" s="157">
        <v>45.25</v>
      </c>
      <c r="G11" s="157">
        <f>H11</f>
        <v>22.51</v>
      </c>
      <c r="H11" s="156">
        <f>'F4'!K18</f>
        <v>22.51</v>
      </c>
      <c r="I11" s="158">
        <v>45.25</v>
      </c>
      <c r="J11" s="156">
        <f>'F4'!K31</f>
        <v>22.63</v>
      </c>
      <c r="K11" s="158">
        <v>45.25</v>
      </c>
      <c r="L11" s="156">
        <f>'F4'!K44</f>
        <v>23.86</v>
      </c>
      <c r="M11" s="114"/>
    </row>
    <row r="12" spans="2:13" ht="15" x14ac:dyDescent="0.2">
      <c r="B12" s="2">
        <f t="shared" si="0"/>
        <v>3</v>
      </c>
      <c r="C12" s="3" t="s">
        <v>223</v>
      </c>
      <c r="D12" s="2" t="s">
        <v>196</v>
      </c>
      <c r="E12" s="16" t="s">
        <v>25</v>
      </c>
      <c r="F12" s="156">
        <f>'F5'!D21</f>
        <v>0</v>
      </c>
      <c r="G12" s="156">
        <f>'F5'!E21</f>
        <v>0</v>
      </c>
      <c r="H12" s="156">
        <f>'F5'!F21</f>
        <v>0</v>
      </c>
      <c r="I12" s="156">
        <f>'F5'!G21</f>
        <v>0</v>
      </c>
      <c r="J12" s="156">
        <f>'F5'!H21</f>
        <v>0</v>
      </c>
      <c r="K12" s="156">
        <f>'F5'!I21</f>
        <v>0</v>
      </c>
      <c r="L12" s="156">
        <f>'F5'!J21</f>
        <v>0</v>
      </c>
      <c r="M12" s="114"/>
    </row>
    <row r="13" spans="2:13" ht="15" x14ac:dyDescent="0.2">
      <c r="B13" s="2">
        <f t="shared" si="0"/>
        <v>4</v>
      </c>
      <c r="C13" s="18" t="s">
        <v>33</v>
      </c>
      <c r="D13" s="2" t="s">
        <v>196</v>
      </c>
      <c r="E13" s="16" t="s">
        <v>26</v>
      </c>
      <c r="F13" s="156">
        <f>'F6'!D19</f>
        <v>32.96</v>
      </c>
      <c r="G13" s="156">
        <f ca="1">'F6'!E19</f>
        <v>36.29</v>
      </c>
      <c r="H13" s="156">
        <f ca="1">'F6'!F19</f>
        <v>36.29</v>
      </c>
      <c r="I13" s="156">
        <f>'F6'!G19</f>
        <v>33.700000000000003</v>
      </c>
      <c r="J13" s="156">
        <f ca="1">'F6'!H19</f>
        <v>37.71</v>
      </c>
      <c r="K13" s="156">
        <f>'F6'!I19</f>
        <v>33.96</v>
      </c>
      <c r="L13" s="156">
        <f ca="1">'F6'!J19</f>
        <v>36.5</v>
      </c>
      <c r="M13" s="114"/>
    </row>
    <row r="14" spans="2:13" ht="15" x14ac:dyDescent="0.2">
      <c r="B14" s="2">
        <f t="shared" si="0"/>
        <v>5</v>
      </c>
      <c r="C14" s="3" t="s">
        <v>224</v>
      </c>
      <c r="D14" s="2" t="s">
        <v>196</v>
      </c>
      <c r="E14" s="16" t="s">
        <v>27</v>
      </c>
      <c r="F14" s="156">
        <f>'F7'!D21</f>
        <v>114.02</v>
      </c>
      <c r="G14" s="156">
        <f>'F7'!E21</f>
        <v>153.76</v>
      </c>
      <c r="H14" s="156">
        <f>'F7'!F21</f>
        <v>153.76</v>
      </c>
      <c r="I14" s="156">
        <f>'F7'!G21</f>
        <v>153.68</v>
      </c>
      <c r="J14" s="156">
        <f>'F7'!H21</f>
        <v>153.83000000000001</v>
      </c>
      <c r="K14" s="156">
        <f>'F7'!I21</f>
        <v>153.68</v>
      </c>
      <c r="L14" s="156">
        <f>'F7'!J21</f>
        <v>154.54</v>
      </c>
      <c r="M14" s="114"/>
    </row>
    <row r="15" spans="2:13" ht="15" x14ac:dyDescent="0.2">
      <c r="B15" s="2">
        <f t="shared" si="0"/>
        <v>6</v>
      </c>
      <c r="C15" s="3" t="s">
        <v>34</v>
      </c>
      <c r="D15" s="2" t="s">
        <v>196</v>
      </c>
      <c r="E15" s="16" t="s">
        <v>28</v>
      </c>
      <c r="F15" s="156">
        <f>'F8'!D28</f>
        <v>8.5299999999999994</v>
      </c>
      <c r="G15" s="156">
        <f>'F8'!E28</f>
        <v>8.35</v>
      </c>
      <c r="H15" s="156">
        <f>G15</f>
        <v>8.35</v>
      </c>
      <c r="I15" s="156">
        <f>'F8'!G28</f>
        <v>8.8699999999999992</v>
      </c>
      <c r="J15" s="156">
        <f>'F8'!H28</f>
        <v>9.07</v>
      </c>
      <c r="K15" s="156">
        <f>'F8'!I28</f>
        <v>9.23</v>
      </c>
      <c r="L15" s="156">
        <f>'F8'!J28</f>
        <v>9.44</v>
      </c>
      <c r="M15" s="114"/>
    </row>
    <row r="16" spans="2:13" ht="15" x14ac:dyDescent="0.2">
      <c r="B16" s="14">
        <f t="shared" si="0"/>
        <v>7</v>
      </c>
      <c r="C16" s="19" t="s">
        <v>225</v>
      </c>
      <c r="D16" s="14" t="s">
        <v>196</v>
      </c>
      <c r="E16" s="16"/>
      <c r="F16" s="261">
        <f>SUM(F10:F14)-F15</f>
        <v>390.67</v>
      </c>
      <c r="G16" s="261">
        <f ca="1">SUM(G10:G14)-G15</f>
        <v>489.85999999999996</v>
      </c>
      <c r="H16" s="261">
        <f t="shared" ref="H16:J16" ca="1" si="1">SUM(H10:H14)-H15</f>
        <v>489.85999999999996</v>
      </c>
      <c r="I16" s="261">
        <f t="shared" si="1"/>
        <v>442.35</v>
      </c>
      <c r="J16" s="261">
        <f t="shared" ca="1" si="1"/>
        <v>505.08</v>
      </c>
      <c r="K16" s="261">
        <f>SUM(K10:K14)-K15</f>
        <v>454.52</v>
      </c>
      <c r="L16" s="261">
        <f t="shared" ref="L16" ca="1" si="2">SUM(L10:L14)-L15</f>
        <v>518.42999999999995</v>
      </c>
      <c r="M16" s="114"/>
    </row>
    <row r="17" spans="2:13" ht="15" x14ac:dyDescent="0.2">
      <c r="B17" s="14" t="s">
        <v>66</v>
      </c>
      <c r="C17" s="14" t="s">
        <v>226</v>
      </c>
      <c r="D17" s="16"/>
      <c r="E17" s="16"/>
      <c r="F17" s="115"/>
      <c r="G17" s="115"/>
      <c r="H17" s="115"/>
      <c r="I17" s="115"/>
      <c r="J17" s="115"/>
      <c r="K17" s="115"/>
      <c r="L17" s="115"/>
      <c r="M17" s="3"/>
    </row>
    <row r="18" spans="2:13" ht="15" x14ac:dyDescent="0.2">
      <c r="B18" s="2">
        <v>1</v>
      </c>
      <c r="C18" s="16" t="s">
        <v>227</v>
      </c>
      <c r="D18" s="2" t="s">
        <v>195</v>
      </c>
      <c r="E18" s="16" t="s">
        <v>159</v>
      </c>
      <c r="F18" s="159">
        <f>'F12'!E19</f>
        <v>4.1407803943780621</v>
      </c>
      <c r="G18" s="159">
        <f>'F12'!F19</f>
        <v>3.8176613395378198</v>
      </c>
      <c r="H18" s="159">
        <f>'F12'!G19</f>
        <v>3.8176613395378198</v>
      </c>
      <c r="I18" s="159">
        <f>'F12'!H19</f>
        <v>4.1319999999999997</v>
      </c>
      <c r="J18" s="159">
        <f>'F12'!I19</f>
        <v>4.0819999999999999</v>
      </c>
      <c r="K18" s="159">
        <f>'F12'!J19</f>
        <v>3.8530000000000002</v>
      </c>
      <c r="L18" s="159">
        <f>'F12'!K19</f>
        <v>3.8530000000000002</v>
      </c>
      <c r="M18" s="3"/>
    </row>
    <row r="19" spans="2:13" ht="15" x14ac:dyDescent="0.2">
      <c r="B19" s="2">
        <f>B18+1</f>
        <v>2</v>
      </c>
      <c r="C19" s="16" t="s">
        <v>228</v>
      </c>
      <c r="D19" s="2" t="s">
        <v>40</v>
      </c>
      <c r="E19" s="16" t="s">
        <v>30</v>
      </c>
      <c r="F19" s="156">
        <f>G19</f>
        <v>2903.234599999997</v>
      </c>
      <c r="G19" s="156">
        <f>'F10'!F28</f>
        <v>2903.234599999997</v>
      </c>
      <c r="H19" s="156">
        <f>G19</f>
        <v>2903.234599999997</v>
      </c>
      <c r="I19" s="156">
        <f>J19</f>
        <v>2635.53</v>
      </c>
      <c r="J19" s="156">
        <f>'F10'!I21</f>
        <v>2635.53</v>
      </c>
      <c r="K19" s="156">
        <f>L19</f>
        <v>3527.54</v>
      </c>
      <c r="L19" s="156">
        <f>'F10'!K21</f>
        <v>3527.54</v>
      </c>
      <c r="M19" s="3"/>
    </row>
    <row r="20" spans="2:13" ht="15" x14ac:dyDescent="0.2">
      <c r="B20" s="2">
        <f>B19+1</f>
        <v>3</v>
      </c>
      <c r="C20" s="16" t="s">
        <v>226</v>
      </c>
      <c r="D20" s="2" t="s">
        <v>196</v>
      </c>
      <c r="E20" s="16"/>
      <c r="F20" s="156">
        <f>F18*F19/10</f>
        <v>1202.1656911960022</v>
      </c>
      <c r="G20" s="156">
        <f t="shared" ref="G20:L20" si="3">G18*G19/10</f>
        <v>1108.3566492028535</v>
      </c>
      <c r="H20" s="156">
        <f t="shared" si="3"/>
        <v>1108.3566492028535</v>
      </c>
      <c r="I20" s="156">
        <f t="shared" si="3"/>
        <v>1089.000996</v>
      </c>
      <c r="J20" s="156">
        <f t="shared" si="3"/>
        <v>1075.8233460000001</v>
      </c>
      <c r="K20" s="156">
        <f t="shared" si="3"/>
        <v>1359.1611619999999</v>
      </c>
      <c r="L20" s="156">
        <f t="shared" si="3"/>
        <v>1359.1611619999999</v>
      </c>
      <c r="M20" s="3"/>
    </row>
    <row r="21" spans="2:13" ht="15" x14ac:dyDescent="0.2">
      <c r="B21" s="14" t="s">
        <v>67</v>
      </c>
      <c r="C21" s="14" t="s">
        <v>374</v>
      </c>
      <c r="D21" s="2" t="s">
        <v>196</v>
      </c>
      <c r="E21" s="3"/>
      <c r="F21" s="160">
        <f>F16+F20</f>
        <v>1592.8356911960022</v>
      </c>
      <c r="G21" s="156">
        <f t="shared" ref="G21:L21" ca="1" si="4">G16+G20</f>
        <v>1598.2166492028534</v>
      </c>
      <c r="H21" s="156">
        <f t="shared" ca="1" si="4"/>
        <v>1598.2166492028534</v>
      </c>
      <c r="I21" s="156">
        <f t="shared" si="4"/>
        <v>1531.3509960000001</v>
      </c>
      <c r="J21" s="156">
        <f t="shared" ca="1" si="4"/>
        <v>1580.9033460000001</v>
      </c>
      <c r="K21" s="156">
        <f t="shared" si="4"/>
        <v>1813.6811619999999</v>
      </c>
      <c r="L21" s="156">
        <f t="shared" ca="1" si="4"/>
        <v>1877.5911619999997</v>
      </c>
      <c r="M21" s="3"/>
    </row>
    <row r="22" spans="2:13" x14ac:dyDescent="0.2">
      <c r="F22" s="129"/>
    </row>
    <row r="23" spans="2:13" x14ac:dyDescent="0.2">
      <c r="C23" s="234"/>
    </row>
    <row r="25" spans="2:13" x14ac:dyDescent="0.2">
      <c r="C25" s="233"/>
    </row>
  </sheetData>
  <mergeCells count="8">
    <mergeCell ref="D6:D8"/>
    <mergeCell ref="B6:B8"/>
    <mergeCell ref="C6:C8"/>
    <mergeCell ref="E6:E8"/>
    <mergeCell ref="M6:M8"/>
    <mergeCell ref="F6:H6"/>
    <mergeCell ref="I6:J6"/>
    <mergeCell ref="K6:L6"/>
  </mergeCells>
  <pageMargins left="0.23" right="0.23" top="0.92" bottom="1" header="0.5" footer="0.5"/>
  <pageSetup paperSize="9" scale="88"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showGridLines="0" view="pageBreakPreview" topLeftCell="A5" zoomScale="81" zoomScaleNormal="93" zoomScaleSheetLayoutView="81" workbookViewId="0">
      <selection activeCell="L36" sqref="L36"/>
    </sheetView>
  </sheetViews>
  <sheetFormatPr defaultColWidth="9.28515625" defaultRowHeight="14.25" x14ac:dyDescent="0.2"/>
  <cols>
    <col min="1" max="1" width="4.28515625" style="5" customWidth="1"/>
    <col min="2" max="2" width="30.42578125" style="5" customWidth="1"/>
    <col min="3" max="15" width="10.7109375" style="5" customWidth="1"/>
    <col min="16" max="16384" width="9.28515625" style="5"/>
  </cols>
  <sheetData>
    <row r="1" spans="1:15" ht="15" x14ac:dyDescent="0.2">
      <c r="B1" s="95"/>
    </row>
    <row r="2" spans="1:15" ht="15" x14ac:dyDescent="0.2">
      <c r="I2" s="32" t="s">
        <v>383</v>
      </c>
    </row>
    <row r="3" spans="1:15" ht="15" x14ac:dyDescent="0.2">
      <c r="I3" s="32" t="s">
        <v>448</v>
      </c>
    </row>
    <row r="4" spans="1:15" ht="15" x14ac:dyDescent="0.2">
      <c r="C4" s="72"/>
      <c r="D4" s="72"/>
      <c r="E4" s="72"/>
      <c r="F4" s="72"/>
      <c r="G4" s="72"/>
      <c r="H4" s="72"/>
      <c r="I4" s="35" t="s">
        <v>345</v>
      </c>
    </row>
    <row r="5" spans="1:15" ht="16.5" x14ac:dyDescent="0.2">
      <c r="B5" s="24"/>
      <c r="C5" s="72"/>
      <c r="D5" s="72"/>
      <c r="E5" s="72"/>
      <c r="F5" s="72"/>
      <c r="G5" s="72"/>
      <c r="H5" s="72"/>
      <c r="I5" s="85"/>
    </row>
    <row r="6" spans="1:15" ht="15" x14ac:dyDescent="0.2">
      <c r="B6" s="24" t="s">
        <v>384</v>
      </c>
      <c r="C6" s="72"/>
      <c r="D6" s="72"/>
      <c r="E6" s="72"/>
      <c r="F6" s="72"/>
      <c r="G6" s="72"/>
      <c r="H6" s="72"/>
      <c r="I6" s="72"/>
      <c r="J6" s="72"/>
      <c r="K6" s="72"/>
      <c r="L6" s="72"/>
      <c r="M6" s="72"/>
      <c r="N6" s="72"/>
      <c r="O6" s="35"/>
    </row>
    <row r="7" spans="1:15" ht="15" customHeight="1" x14ac:dyDescent="0.2">
      <c r="A7" s="5" t="s">
        <v>344</v>
      </c>
      <c r="B7" s="207" t="s">
        <v>12</v>
      </c>
      <c r="C7" s="25"/>
      <c r="D7" s="25"/>
      <c r="O7" s="25" t="s">
        <v>135</v>
      </c>
    </row>
    <row r="8" spans="1:15" ht="15" x14ac:dyDescent="0.2">
      <c r="B8" s="314" t="s">
        <v>346</v>
      </c>
      <c r="C8" s="351" t="s">
        <v>148</v>
      </c>
      <c r="D8" s="332"/>
      <c r="E8" s="332"/>
      <c r="F8" s="332"/>
      <c r="G8" s="332"/>
      <c r="H8" s="332"/>
      <c r="I8" s="332"/>
      <c r="J8" s="332"/>
      <c r="K8" s="332"/>
      <c r="L8" s="332"/>
      <c r="M8" s="332"/>
      <c r="N8" s="333"/>
      <c r="O8" s="166" t="s">
        <v>149</v>
      </c>
    </row>
    <row r="9" spans="1:15" ht="15" x14ac:dyDescent="0.2">
      <c r="B9" s="316"/>
      <c r="C9" s="166" t="s">
        <v>136</v>
      </c>
      <c r="D9" s="166" t="s">
        <v>137</v>
      </c>
      <c r="E9" s="208" t="s">
        <v>138</v>
      </c>
      <c r="F9" s="208" t="s">
        <v>139</v>
      </c>
      <c r="G9" s="208" t="s">
        <v>140</v>
      </c>
      <c r="H9" s="208" t="s">
        <v>141</v>
      </c>
      <c r="I9" s="208" t="s">
        <v>142</v>
      </c>
      <c r="J9" s="208" t="s">
        <v>143</v>
      </c>
      <c r="K9" s="208" t="s">
        <v>144</v>
      </c>
      <c r="L9" s="208" t="s">
        <v>145</v>
      </c>
      <c r="M9" s="208" t="s">
        <v>146</v>
      </c>
      <c r="N9" s="208" t="s">
        <v>147</v>
      </c>
      <c r="O9" s="209"/>
    </row>
    <row r="10" spans="1:15" s="32" customFormat="1" ht="15" x14ac:dyDescent="0.2">
      <c r="B10" s="146" t="s">
        <v>439</v>
      </c>
      <c r="C10" s="145">
        <f>260.4878*0.7055</f>
        <v>183.77414289999999</v>
      </c>
      <c r="D10" s="145">
        <f>257.6763*0.7055</f>
        <v>181.79062965000003</v>
      </c>
      <c r="E10" s="145">
        <f>226.2721*0.7055</f>
        <v>159.63496655</v>
      </c>
      <c r="F10" s="145">
        <f>245.14*0.7055</f>
        <v>172.94627</v>
      </c>
      <c r="G10" s="145">
        <f>229.12*70.55/100</f>
        <v>161.64416</v>
      </c>
      <c r="H10" s="145">
        <f>207.9*0.7055</f>
        <v>146.67345</v>
      </c>
      <c r="I10" s="145">
        <f>210.18*0.7055</f>
        <v>148.28199000000001</v>
      </c>
      <c r="J10" s="145">
        <f>210.7213*0.7055</f>
        <v>148.66387715000002</v>
      </c>
      <c r="K10" s="145">
        <f>238.53*0.7055</f>
        <v>168.282915</v>
      </c>
      <c r="L10" s="145">
        <f>252.26*0.7055</f>
        <v>177.96942999999999</v>
      </c>
      <c r="M10" s="145">
        <f>254.24*0.7055</f>
        <v>179.36632</v>
      </c>
      <c r="N10" s="145">
        <f>310.71*0.7055</f>
        <v>219.205905</v>
      </c>
      <c r="O10" s="210">
        <f>SUM(C10:N10)</f>
        <v>2048.2340562499999</v>
      </c>
    </row>
    <row r="11" spans="1:15" s="32" customFormat="1" ht="15" x14ac:dyDescent="0.2">
      <c r="B11" s="146"/>
      <c r="C11" s="145"/>
      <c r="D11" s="145"/>
      <c r="E11" s="145"/>
      <c r="F11" s="145"/>
      <c r="G11" s="145"/>
      <c r="H11" s="145"/>
      <c r="I11" s="145"/>
      <c r="J11" s="145"/>
      <c r="K11" s="145"/>
      <c r="L11" s="145"/>
      <c r="M11" s="145"/>
      <c r="N11" s="145"/>
      <c r="O11" s="211"/>
    </row>
    <row r="12" spans="1:15" s="32" customFormat="1" ht="15" x14ac:dyDescent="0.2">
      <c r="B12" s="146" t="s">
        <v>440</v>
      </c>
      <c r="C12" s="145">
        <f>260.4878*0.2945</f>
        <v>76.713657099999992</v>
      </c>
      <c r="D12" s="145">
        <f>257.6763*0.2945</f>
        <v>75.885670349999998</v>
      </c>
      <c r="E12" s="145">
        <f>226.2721*0.2945</f>
        <v>66.637133449999993</v>
      </c>
      <c r="F12" s="145">
        <f>245.14*0.2945</f>
        <v>72.193729999999988</v>
      </c>
      <c r="G12" s="145">
        <f>229.12*0.2945</f>
        <v>67.475839999999991</v>
      </c>
      <c r="H12" s="145">
        <f>207.9*0.2945</f>
        <v>61.226549999999996</v>
      </c>
      <c r="I12" s="145">
        <f>210.18*0.2945</f>
        <v>61.898009999999999</v>
      </c>
      <c r="J12" s="145">
        <f>210.7213*0.2945</f>
        <v>62.057422850000002</v>
      </c>
      <c r="K12" s="145">
        <f>238.53*0.2945</f>
        <v>70.247084999999998</v>
      </c>
      <c r="L12" s="145">
        <f>252.26*0.2945</f>
        <v>74.290569999999988</v>
      </c>
      <c r="M12" s="145">
        <f>254.24*0.2945</f>
        <v>74.873679999999993</v>
      </c>
      <c r="N12" s="145">
        <f>310.71*0.2945</f>
        <v>91.504094999999992</v>
      </c>
      <c r="O12" s="145">
        <f>SUM(C12:N12)</f>
        <v>855.00344374999997</v>
      </c>
    </row>
    <row r="13" spans="1:15" s="32" customFormat="1" ht="15" x14ac:dyDescent="0.2">
      <c r="B13" s="212"/>
      <c r="C13" s="211"/>
      <c r="D13" s="211"/>
      <c r="E13" s="211"/>
      <c r="F13" s="211"/>
      <c r="G13" s="211"/>
      <c r="H13" s="211"/>
      <c r="I13" s="211"/>
      <c r="J13" s="211"/>
      <c r="K13" s="211"/>
      <c r="L13" s="211"/>
      <c r="M13" s="211"/>
      <c r="N13" s="211"/>
      <c r="O13" s="211"/>
    </row>
    <row r="14" spans="1:15" ht="15" x14ac:dyDescent="0.2">
      <c r="B14" s="211" t="s">
        <v>134</v>
      </c>
      <c r="C14" s="213">
        <f>C10+C12</f>
        <v>260.48779999999999</v>
      </c>
      <c r="D14" s="213">
        <f t="shared" ref="D14:N14" si="0">D10+D12</f>
        <v>257.67630000000003</v>
      </c>
      <c r="E14" s="213">
        <f t="shared" si="0"/>
        <v>226.27209999999999</v>
      </c>
      <c r="F14" s="213">
        <f t="shared" si="0"/>
        <v>245.14</v>
      </c>
      <c r="G14" s="213">
        <f t="shared" si="0"/>
        <v>229.12</v>
      </c>
      <c r="H14" s="213">
        <f>H10+H12</f>
        <v>207.9</v>
      </c>
      <c r="I14" s="213">
        <f t="shared" si="0"/>
        <v>210.18</v>
      </c>
      <c r="J14" s="213">
        <f t="shared" si="0"/>
        <v>210.72130000000001</v>
      </c>
      <c r="K14" s="213">
        <f t="shared" si="0"/>
        <v>238.53</v>
      </c>
      <c r="L14" s="213">
        <f>L10+L12</f>
        <v>252.26</v>
      </c>
      <c r="M14" s="213">
        <f t="shared" si="0"/>
        <v>254.24</v>
      </c>
      <c r="N14" s="213">
        <f t="shared" si="0"/>
        <v>310.70999999999998</v>
      </c>
      <c r="O14" s="213">
        <f>O10+O12</f>
        <v>2903.2374999999997</v>
      </c>
    </row>
    <row r="16" spans="1:15" ht="18.75" customHeight="1" x14ac:dyDescent="0.2">
      <c r="B16" s="24"/>
      <c r="C16" s="72"/>
      <c r="D16" s="72"/>
      <c r="E16" s="72"/>
      <c r="F16" s="72"/>
      <c r="G16" s="72"/>
      <c r="H16" s="72"/>
      <c r="I16" s="72"/>
      <c r="J16" s="72"/>
      <c r="K16" s="72"/>
      <c r="L16" s="72"/>
      <c r="M16" s="72"/>
      <c r="N16" s="72"/>
      <c r="O16" s="35"/>
    </row>
    <row r="17" spans="2:15" ht="15" x14ac:dyDescent="0.2">
      <c r="B17" s="24" t="s">
        <v>385</v>
      </c>
      <c r="C17" s="72"/>
      <c r="D17" s="72"/>
      <c r="E17" s="72"/>
      <c r="F17" s="72"/>
      <c r="G17" s="72"/>
      <c r="H17" s="72"/>
      <c r="I17" s="35"/>
    </row>
    <row r="18" spans="2:15" ht="15" x14ac:dyDescent="0.2">
      <c r="B18" s="214"/>
      <c r="C18" s="351" t="s">
        <v>148</v>
      </c>
      <c r="D18" s="332"/>
      <c r="E18" s="332"/>
      <c r="F18" s="332"/>
      <c r="G18" s="332"/>
      <c r="H18" s="333"/>
      <c r="I18" s="351" t="s">
        <v>5</v>
      </c>
      <c r="J18" s="332"/>
      <c r="K18" s="332"/>
      <c r="L18" s="332"/>
      <c r="M18" s="332"/>
      <c r="N18" s="333"/>
      <c r="O18" s="215"/>
    </row>
    <row r="19" spans="2:15" ht="15" x14ac:dyDescent="0.2">
      <c r="B19" s="166" t="s">
        <v>346</v>
      </c>
      <c r="C19" s="166" t="s">
        <v>136</v>
      </c>
      <c r="D19" s="166" t="s">
        <v>137</v>
      </c>
      <c r="E19" s="208" t="s">
        <v>138</v>
      </c>
      <c r="F19" s="208" t="s">
        <v>139</v>
      </c>
      <c r="G19" s="208" t="s">
        <v>140</v>
      </c>
      <c r="H19" s="208" t="s">
        <v>141</v>
      </c>
      <c r="I19" s="208" t="s">
        <v>142</v>
      </c>
      <c r="J19" s="208" t="s">
        <v>143</v>
      </c>
      <c r="K19" s="208" t="s">
        <v>144</v>
      </c>
      <c r="L19" s="208" t="s">
        <v>145</v>
      </c>
      <c r="M19" s="208" t="s">
        <v>146</v>
      </c>
      <c r="N19" s="208" t="s">
        <v>147</v>
      </c>
      <c r="O19" s="208" t="s">
        <v>134</v>
      </c>
    </row>
    <row r="20" spans="2:15" ht="15" x14ac:dyDescent="0.2">
      <c r="B20" s="146" t="s">
        <v>439</v>
      </c>
      <c r="C20" s="216">
        <f>247.49*0.7055</f>
        <v>174.604195</v>
      </c>
      <c r="D20" s="216">
        <f>143.26*0.7055</f>
        <v>101.06993</v>
      </c>
      <c r="E20" s="216">
        <f>174.42*0.7055</f>
        <v>123.05331</v>
      </c>
      <c r="F20" s="216">
        <f>141.91*0.7055</f>
        <v>100.11750499999999</v>
      </c>
      <c r="G20" s="216">
        <f>106.51*0.7055</f>
        <v>75.14280500000001</v>
      </c>
      <c r="H20" s="216">
        <f>164.2*0.7055</f>
        <v>115.84309999999999</v>
      </c>
      <c r="I20" s="216">
        <f>317.223*0.7055</f>
        <v>223.80082650000003</v>
      </c>
      <c r="J20" s="216">
        <f>102.33*0.7055</f>
        <v>72.193815000000001</v>
      </c>
      <c r="K20" s="216">
        <f>317.223*0.7055</f>
        <v>223.80082650000003</v>
      </c>
      <c r="L20" s="216">
        <f>317.223*0.7055</f>
        <v>223.80082650000003</v>
      </c>
      <c r="M20" s="216">
        <f>286.52*0.7055</f>
        <v>202.13986</v>
      </c>
      <c r="N20" s="216">
        <f>317.223*0.7055</f>
        <v>223.80082650000003</v>
      </c>
      <c r="O20" s="216">
        <f>SUM(C20:N20)</f>
        <v>1859.3678260000002</v>
      </c>
    </row>
    <row r="21" spans="2:15" ht="15" x14ac:dyDescent="0.2">
      <c r="B21" s="146"/>
      <c r="C21" s="216"/>
      <c r="D21" s="216"/>
      <c r="E21" s="216"/>
      <c r="F21" s="216"/>
      <c r="G21" s="216"/>
      <c r="H21" s="216"/>
      <c r="I21" s="216"/>
      <c r="J21" s="216"/>
      <c r="K21" s="216"/>
      <c r="L21" s="216"/>
      <c r="M21" s="216"/>
      <c r="N21" s="216"/>
      <c r="O21" s="217"/>
    </row>
    <row r="22" spans="2:15" ht="15" x14ac:dyDescent="0.2">
      <c r="B22" s="146" t="s">
        <v>440</v>
      </c>
      <c r="C22" s="216">
        <f>247.49*0.2945</f>
        <v>72.885805000000005</v>
      </c>
      <c r="D22" s="216">
        <f>143.26*0.2945</f>
        <v>42.190069999999992</v>
      </c>
      <c r="E22" s="216">
        <f>174.42*0.2945</f>
        <v>51.366689999999991</v>
      </c>
      <c r="F22" s="216">
        <f>141.91*0.2945</f>
        <v>41.792494999999995</v>
      </c>
      <c r="G22" s="216">
        <f>106.51*0.2945</f>
        <v>31.367194999999999</v>
      </c>
      <c r="H22" s="216">
        <f>164.2*0.2945</f>
        <v>48.356899999999996</v>
      </c>
      <c r="I22" s="216">
        <f>317.223*0.2945</f>
        <v>93.4221735</v>
      </c>
      <c r="J22" s="216">
        <f>102.33*0.2945</f>
        <v>30.136184999999998</v>
      </c>
      <c r="K22" s="216">
        <f>317.223*0.2945</f>
        <v>93.4221735</v>
      </c>
      <c r="L22" s="216">
        <f>317.223*0.2945</f>
        <v>93.4221735</v>
      </c>
      <c r="M22" s="216">
        <f>286.52*0.2945</f>
        <v>84.380139999999983</v>
      </c>
      <c r="N22" s="216">
        <f>317.223*0.2945</f>
        <v>93.4221735</v>
      </c>
      <c r="O22" s="216">
        <f>SUM(C22:N22)</f>
        <v>776.164174</v>
      </c>
    </row>
    <row r="23" spans="2:15" x14ac:dyDescent="0.2">
      <c r="B23" s="212"/>
      <c r="C23" s="215"/>
      <c r="D23" s="215"/>
      <c r="E23" s="215"/>
      <c r="F23" s="215"/>
      <c r="G23" s="215"/>
      <c r="H23" s="215"/>
      <c r="I23" s="215"/>
      <c r="J23" s="215"/>
      <c r="K23" s="215"/>
      <c r="L23" s="215"/>
      <c r="M23" s="215"/>
      <c r="N23" s="215"/>
      <c r="O23" s="215"/>
    </row>
    <row r="24" spans="2:15" ht="15" x14ac:dyDescent="0.2">
      <c r="B24" s="211" t="s">
        <v>134</v>
      </c>
      <c r="C24" s="213">
        <f>C20+C22</f>
        <v>247.49</v>
      </c>
      <c r="D24" s="213">
        <f t="shared" ref="D24:N24" si="1">D20+D22</f>
        <v>143.26</v>
      </c>
      <c r="E24" s="213">
        <f t="shared" si="1"/>
        <v>174.42</v>
      </c>
      <c r="F24" s="213">
        <f t="shared" si="1"/>
        <v>141.91</v>
      </c>
      <c r="G24" s="213">
        <f t="shared" si="1"/>
        <v>106.51</v>
      </c>
      <c r="H24" s="213">
        <f t="shared" si="1"/>
        <v>164.2</v>
      </c>
      <c r="I24" s="213">
        <f t="shared" si="1"/>
        <v>317.22300000000001</v>
      </c>
      <c r="J24" s="213">
        <f t="shared" si="1"/>
        <v>102.33</v>
      </c>
      <c r="K24" s="213">
        <f t="shared" si="1"/>
        <v>317.22300000000001</v>
      </c>
      <c r="L24" s="213">
        <f t="shared" si="1"/>
        <v>317.22300000000001</v>
      </c>
      <c r="M24" s="213">
        <f t="shared" si="1"/>
        <v>286.52</v>
      </c>
      <c r="N24" s="213">
        <f t="shared" si="1"/>
        <v>317.22300000000001</v>
      </c>
      <c r="O24" s="213">
        <f>O20+O22</f>
        <v>2635.5320000000002</v>
      </c>
    </row>
    <row r="25" spans="2:15" ht="15" x14ac:dyDescent="0.2">
      <c r="B25" s="32"/>
      <c r="C25" s="263"/>
      <c r="D25" s="263"/>
      <c r="E25" s="263"/>
      <c r="F25" s="263"/>
      <c r="G25" s="263"/>
      <c r="H25" s="263"/>
      <c r="I25" s="263"/>
      <c r="J25" s="263"/>
      <c r="K25" s="263"/>
      <c r="L25" s="263"/>
      <c r="M25" s="263"/>
      <c r="N25" s="263"/>
      <c r="O25" s="263"/>
    </row>
    <row r="26" spans="2:15" ht="15" x14ac:dyDescent="0.2">
      <c r="B26" s="24" t="s">
        <v>445</v>
      </c>
      <c r="C26" s="72"/>
      <c r="D26" s="72"/>
      <c r="E26" s="72"/>
      <c r="F26" s="72"/>
      <c r="G26" s="72"/>
      <c r="H26" s="72"/>
      <c r="I26" s="35"/>
    </row>
    <row r="27" spans="2:15" ht="15" x14ac:dyDescent="0.2">
      <c r="B27" s="24" t="s">
        <v>8</v>
      </c>
      <c r="C27" s="25"/>
      <c r="D27" s="25"/>
      <c r="O27" s="25" t="s">
        <v>135</v>
      </c>
    </row>
    <row r="28" spans="2:15" ht="15" x14ac:dyDescent="0.2">
      <c r="B28" s="166" t="s">
        <v>346</v>
      </c>
      <c r="C28" s="166" t="s">
        <v>136</v>
      </c>
      <c r="D28" s="166" t="s">
        <v>137</v>
      </c>
      <c r="E28" s="208" t="s">
        <v>138</v>
      </c>
      <c r="F28" s="208" t="s">
        <v>139</v>
      </c>
      <c r="G28" s="208" t="s">
        <v>140</v>
      </c>
      <c r="H28" s="208" t="s">
        <v>141</v>
      </c>
      <c r="I28" s="208" t="s">
        <v>142</v>
      </c>
      <c r="J28" s="208" t="s">
        <v>143</v>
      </c>
      <c r="K28" s="208" t="s">
        <v>144</v>
      </c>
      <c r="L28" s="208" t="s">
        <v>145</v>
      </c>
      <c r="M28" s="208" t="s">
        <v>146</v>
      </c>
      <c r="N28" s="208" t="s">
        <v>147</v>
      </c>
      <c r="O28" s="208" t="s">
        <v>134</v>
      </c>
    </row>
    <row r="29" spans="2:15" ht="15" x14ac:dyDescent="0.2">
      <c r="B29" s="146" t="s">
        <v>439</v>
      </c>
      <c r="C29" s="216">
        <f>289.94*0.7055</f>
        <v>204.55267000000001</v>
      </c>
      <c r="D29" s="216">
        <f>299.6*0.7055</f>
        <v>211.36780000000002</v>
      </c>
      <c r="E29" s="216">
        <f>289.94*0.7055</f>
        <v>204.55267000000001</v>
      </c>
      <c r="F29" s="216">
        <f t="shared" ref="F29:G29" si="2">299.6*0.7055</f>
        <v>211.36780000000002</v>
      </c>
      <c r="G29" s="216">
        <f t="shared" si="2"/>
        <v>211.36780000000002</v>
      </c>
      <c r="H29" s="216">
        <f>289.94*0.7055</f>
        <v>204.55267000000001</v>
      </c>
      <c r="I29" s="216">
        <f>299.6*0.7055</f>
        <v>211.36780000000002</v>
      </c>
      <c r="J29" s="216">
        <f>289.94*0.7055</f>
        <v>204.55267000000001</v>
      </c>
      <c r="K29" s="216">
        <f>299.6*0.7055</f>
        <v>211.36780000000002</v>
      </c>
      <c r="L29" s="216">
        <f>299.6*0.7055</f>
        <v>211.36780000000002</v>
      </c>
      <c r="M29" s="216">
        <f>270.61*0.7055</f>
        <v>190.91535500000001</v>
      </c>
      <c r="N29" s="216">
        <f>299.6*0.7055</f>
        <v>211.36780000000002</v>
      </c>
      <c r="O29" s="218">
        <f>SUM(C29:N29)</f>
        <v>2488.7006350000001</v>
      </c>
    </row>
    <row r="30" spans="2:15" ht="15" x14ac:dyDescent="0.2">
      <c r="B30" s="146"/>
      <c r="C30" s="216"/>
      <c r="D30" s="216"/>
      <c r="E30" s="216"/>
      <c r="F30" s="216"/>
      <c r="G30" s="216"/>
      <c r="H30" s="216"/>
      <c r="I30" s="216"/>
      <c r="J30" s="216"/>
      <c r="K30" s="216"/>
      <c r="L30" s="216"/>
      <c r="M30" s="216"/>
      <c r="N30" s="216"/>
      <c r="O30" s="218"/>
    </row>
    <row r="31" spans="2:15" ht="15" x14ac:dyDescent="0.2">
      <c r="B31" s="146" t="s">
        <v>440</v>
      </c>
      <c r="C31" s="216">
        <f>289.94*0.2945</f>
        <v>85.387329999999992</v>
      </c>
      <c r="D31" s="216">
        <f>299.6*0.2945</f>
        <v>88.232200000000006</v>
      </c>
      <c r="E31" s="216">
        <f>289.94*0.2945</f>
        <v>85.387329999999992</v>
      </c>
      <c r="F31" s="216">
        <f t="shared" ref="F31:G31" si="3">299.6*0.2945</f>
        <v>88.232200000000006</v>
      </c>
      <c r="G31" s="216">
        <f t="shared" si="3"/>
        <v>88.232200000000006</v>
      </c>
      <c r="H31" s="216">
        <f>289.94*0.2945</f>
        <v>85.387329999999992</v>
      </c>
      <c r="I31" s="216">
        <f>299.6*0.2945</f>
        <v>88.232200000000006</v>
      </c>
      <c r="J31" s="216">
        <f>289.94*0.2945</f>
        <v>85.387329999999992</v>
      </c>
      <c r="K31" s="216">
        <f>299.6*0.2945</f>
        <v>88.232200000000006</v>
      </c>
      <c r="L31" s="216">
        <f>299.6*0.2945</f>
        <v>88.232200000000006</v>
      </c>
      <c r="M31" s="216">
        <f>270.61*0.2945</f>
        <v>79.694644999999994</v>
      </c>
      <c r="N31" s="216">
        <f>299.6*0.2945</f>
        <v>88.232200000000006</v>
      </c>
      <c r="O31" s="218">
        <f>SUM(C31:N31)</f>
        <v>1038.8693650000002</v>
      </c>
    </row>
    <row r="32" spans="2:15" x14ac:dyDescent="0.2">
      <c r="B32" s="212"/>
      <c r="C32" s="219"/>
      <c r="D32" s="219"/>
      <c r="E32" s="219"/>
      <c r="F32" s="219"/>
      <c r="G32" s="219"/>
      <c r="H32" s="219"/>
      <c r="I32" s="219"/>
      <c r="J32" s="219"/>
      <c r="K32" s="219"/>
      <c r="L32" s="219"/>
      <c r="M32" s="219"/>
      <c r="N32" s="219"/>
      <c r="O32" s="219"/>
    </row>
    <row r="33" spans="2:15" ht="15" x14ac:dyDescent="0.2">
      <c r="B33" s="211" t="s">
        <v>134</v>
      </c>
      <c r="C33" s="213">
        <f>C29+C31</f>
        <v>289.94</v>
      </c>
      <c r="D33" s="213">
        <f t="shared" ref="D33:M33" si="4">D29+D31</f>
        <v>299.60000000000002</v>
      </c>
      <c r="E33" s="213">
        <f t="shared" si="4"/>
        <v>289.94</v>
      </c>
      <c r="F33" s="213">
        <f t="shared" si="4"/>
        <v>299.60000000000002</v>
      </c>
      <c r="G33" s="213">
        <f t="shared" si="4"/>
        <v>299.60000000000002</v>
      </c>
      <c r="H33" s="213">
        <f t="shared" si="4"/>
        <v>289.94</v>
      </c>
      <c r="I33" s="213">
        <f t="shared" si="4"/>
        <v>299.60000000000002</v>
      </c>
      <c r="J33" s="213">
        <f t="shared" si="4"/>
        <v>289.94</v>
      </c>
      <c r="K33" s="213">
        <f t="shared" si="4"/>
        <v>299.60000000000002</v>
      </c>
      <c r="L33" s="213">
        <f t="shared" si="4"/>
        <v>299.60000000000002</v>
      </c>
      <c r="M33" s="213">
        <f t="shared" si="4"/>
        <v>270.61</v>
      </c>
      <c r="N33" s="213">
        <f>N29+N31</f>
        <v>299.60000000000002</v>
      </c>
      <c r="O33" s="213">
        <f t="shared" ref="O33" si="5">O29+O31</f>
        <v>3527.5700000000006</v>
      </c>
    </row>
  </sheetData>
  <mergeCells count="4">
    <mergeCell ref="C18:H18"/>
    <mergeCell ref="I18:N18"/>
    <mergeCell ref="B8:B9"/>
    <mergeCell ref="C8:N8"/>
  </mergeCells>
  <pageMargins left="0.13" right="0.33" top="1" bottom="0.37" header="0.5" footer="0.5"/>
  <pageSetup paperSize="9" scale="83"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2"/>
  <sheetViews>
    <sheetView showGridLines="0" view="pageBreakPreview" topLeftCell="A23" zoomScaleNormal="93" zoomScaleSheetLayoutView="100" workbookViewId="0">
      <selection activeCell="A32" sqref="A32:XFD88"/>
    </sheetView>
  </sheetViews>
  <sheetFormatPr defaultRowHeight="12.75" x14ac:dyDescent="0.2"/>
  <cols>
    <col min="1" max="1" width="7.5703125" customWidth="1"/>
    <col min="2" max="2" width="43.7109375" customWidth="1"/>
    <col min="3" max="3" width="11.5703125" customWidth="1"/>
    <col min="16" max="16" width="11.140625" style="266" customWidth="1"/>
  </cols>
  <sheetData>
    <row r="1" spans="1:16" ht="15" customHeight="1" x14ac:dyDescent="0.3">
      <c r="A1" s="352" t="s">
        <v>466</v>
      </c>
      <c r="B1" s="352"/>
      <c r="C1" s="352"/>
      <c r="D1" s="352"/>
      <c r="E1" s="352"/>
      <c r="F1" s="352"/>
      <c r="G1" s="352"/>
      <c r="H1" s="352"/>
      <c r="I1" s="352"/>
      <c r="J1" s="352"/>
      <c r="K1" s="352"/>
      <c r="L1" s="352"/>
      <c r="M1" s="352"/>
      <c r="N1" s="352"/>
      <c r="O1" s="352"/>
      <c r="P1" s="352"/>
    </row>
    <row r="2" spans="1:16" ht="15" customHeight="1" x14ac:dyDescent="0.2">
      <c r="A2" s="353" t="s">
        <v>467</v>
      </c>
      <c r="B2" s="353"/>
      <c r="C2" s="353"/>
      <c r="D2" s="353"/>
      <c r="E2" s="353"/>
      <c r="F2" s="353"/>
      <c r="G2" s="353"/>
      <c r="H2" s="353"/>
      <c r="I2" s="353"/>
      <c r="J2" s="353"/>
      <c r="K2" s="353"/>
      <c r="L2" s="353"/>
      <c r="M2" s="353"/>
      <c r="N2" s="353"/>
      <c r="O2" s="353"/>
      <c r="P2" s="353"/>
    </row>
    <row r="3" spans="1:16" ht="15" customHeight="1" x14ac:dyDescent="0.2">
      <c r="A3" s="353" t="s">
        <v>349</v>
      </c>
      <c r="B3" s="353"/>
      <c r="C3" s="353"/>
      <c r="D3" s="353"/>
      <c r="E3" s="353"/>
      <c r="F3" s="353"/>
      <c r="G3" s="353"/>
      <c r="H3" s="353"/>
      <c r="I3" s="353"/>
      <c r="J3" s="353"/>
      <c r="K3" s="353"/>
      <c r="L3" s="353"/>
      <c r="M3" s="353"/>
      <c r="N3" s="353"/>
      <c r="O3" s="353"/>
      <c r="P3" s="353"/>
    </row>
    <row r="4" spans="1:16" ht="17.25" x14ac:dyDescent="0.2">
      <c r="A4" s="246" t="s">
        <v>468</v>
      </c>
      <c r="B4" s="247"/>
      <c r="C4" s="247"/>
      <c r="D4" s="247"/>
      <c r="E4" s="247"/>
      <c r="F4" s="247"/>
      <c r="G4" s="247"/>
      <c r="H4" s="248"/>
      <c r="I4" s="247"/>
      <c r="J4" s="247"/>
      <c r="K4" s="247"/>
      <c r="L4" s="247"/>
      <c r="M4" s="247"/>
      <c r="N4" s="247"/>
      <c r="O4" s="247"/>
      <c r="P4" s="249"/>
    </row>
    <row r="5" spans="1:16" ht="17.25" x14ac:dyDescent="0.2">
      <c r="A5" s="249" t="s">
        <v>12</v>
      </c>
      <c r="B5" s="247"/>
      <c r="C5" s="247"/>
      <c r="D5" s="247"/>
      <c r="E5" s="247"/>
      <c r="F5" s="247"/>
      <c r="G5" s="247"/>
      <c r="H5" s="247"/>
      <c r="I5" s="247"/>
      <c r="J5" s="247"/>
      <c r="K5" s="247"/>
      <c r="L5" s="247"/>
      <c r="M5" s="247"/>
      <c r="N5" s="247"/>
      <c r="O5" s="247"/>
      <c r="P5" s="249"/>
    </row>
    <row r="6" spans="1:16" ht="17.25" x14ac:dyDescent="0.2">
      <c r="A6" s="250" t="s">
        <v>186</v>
      </c>
      <c r="B6" s="250" t="s">
        <v>14</v>
      </c>
      <c r="C6" s="250" t="s">
        <v>35</v>
      </c>
      <c r="D6" s="251" t="s">
        <v>136</v>
      </c>
      <c r="E6" s="251" t="s">
        <v>137</v>
      </c>
      <c r="F6" s="252" t="s">
        <v>138</v>
      </c>
      <c r="G6" s="252" t="s">
        <v>139</v>
      </c>
      <c r="H6" s="252" t="s">
        <v>140</v>
      </c>
      <c r="I6" s="252" t="s">
        <v>141</v>
      </c>
      <c r="J6" s="252" t="s">
        <v>142</v>
      </c>
      <c r="K6" s="252" t="s">
        <v>143</v>
      </c>
      <c r="L6" s="252" t="s">
        <v>144</v>
      </c>
      <c r="M6" s="252" t="s">
        <v>145</v>
      </c>
      <c r="N6" s="252" t="s">
        <v>146</v>
      </c>
      <c r="O6" s="252" t="s">
        <v>147</v>
      </c>
      <c r="P6" s="253" t="s">
        <v>134</v>
      </c>
    </row>
    <row r="7" spans="1:16" ht="17.25" x14ac:dyDescent="0.2">
      <c r="A7" s="254">
        <v>1</v>
      </c>
      <c r="B7" s="255" t="s">
        <v>166</v>
      </c>
      <c r="C7" s="254" t="s">
        <v>37</v>
      </c>
      <c r="D7" s="174">
        <v>85</v>
      </c>
      <c r="E7" s="174">
        <v>85</v>
      </c>
      <c r="F7" s="174">
        <v>85</v>
      </c>
      <c r="G7" s="174">
        <v>85</v>
      </c>
      <c r="H7" s="174">
        <v>85</v>
      </c>
      <c r="I7" s="174">
        <v>85</v>
      </c>
      <c r="J7" s="174">
        <v>85</v>
      </c>
      <c r="K7" s="174">
        <v>85</v>
      </c>
      <c r="L7" s="174">
        <v>85</v>
      </c>
      <c r="M7" s="174">
        <v>85</v>
      </c>
      <c r="N7" s="174">
        <v>85</v>
      </c>
      <c r="O7" s="174">
        <v>85</v>
      </c>
      <c r="P7" s="175">
        <v>85</v>
      </c>
    </row>
    <row r="8" spans="1:16" ht="17.25" x14ac:dyDescent="0.2">
      <c r="A8" s="254">
        <f t="shared" ref="A8:A25" si="0">A7+1</f>
        <v>2</v>
      </c>
      <c r="B8" s="255" t="s">
        <v>469</v>
      </c>
      <c r="C8" s="254" t="s">
        <v>37</v>
      </c>
      <c r="D8" s="174">
        <v>90.64</v>
      </c>
      <c r="E8" s="174">
        <v>99.93</v>
      </c>
      <c r="F8" s="174">
        <v>89.26</v>
      </c>
      <c r="G8" s="174">
        <v>98.79</v>
      </c>
      <c r="H8" s="174">
        <v>94.8</v>
      </c>
      <c r="I8" s="174">
        <v>78.52</v>
      </c>
      <c r="J8" s="174">
        <v>92.11</v>
      </c>
      <c r="K8" s="174">
        <v>99.16</v>
      </c>
      <c r="L8" s="174">
        <v>99.98</v>
      </c>
      <c r="M8" s="174">
        <v>98.56</v>
      </c>
      <c r="N8" s="174">
        <v>96.94</v>
      </c>
      <c r="O8" s="174">
        <v>100</v>
      </c>
      <c r="P8" s="175">
        <v>94.91</v>
      </c>
    </row>
    <row r="9" spans="1:16" ht="17.25" x14ac:dyDescent="0.2">
      <c r="A9" s="254">
        <f t="shared" si="0"/>
        <v>3</v>
      </c>
      <c r="B9" s="255" t="s">
        <v>187</v>
      </c>
      <c r="C9" s="254" t="s">
        <v>37</v>
      </c>
      <c r="D9" s="174">
        <v>92.85</v>
      </c>
      <c r="E9" s="174">
        <v>97.68</v>
      </c>
      <c r="F9" s="174">
        <v>95.62</v>
      </c>
      <c r="G9" s="174">
        <v>97.04</v>
      </c>
      <c r="H9" s="174">
        <v>97.05</v>
      </c>
      <c r="I9" s="174">
        <v>94.33</v>
      </c>
      <c r="J9" s="174">
        <v>92.09</v>
      </c>
      <c r="K9" s="174">
        <v>92.96</v>
      </c>
      <c r="L9" s="174">
        <v>93.75</v>
      </c>
      <c r="M9" s="174">
        <v>94.24</v>
      </c>
      <c r="N9" s="174">
        <v>94.46</v>
      </c>
      <c r="O9" s="174">
        <v>94.98</v>
      </c>
      <c r="P9" s="175"/>
    </row>
    <row r="10" spans="1:16" ht="17.25" x14ac:dyDescent="0.2">
      <c r="A10" s="254">
        <f t="shared" si="0"/>
        <v>4</v>
      </c>
      <c r="B10" s="255" t="s">
        <v>38</v>
      </c>
      <c r="C10" s="254" t="s">
        <v>37</v>
      </c>
      <c r="D10" s="174">
        <v>85</v>
      </c>
      <c r="E10" s="174">
        <v>85</v>
      </c>
      <c r="F10" s="174">
        <v>85</v>
      </c>
      <c r="G10" s="174">
        <v>85</v>
      </c>
      <c r="H10" s="174">
        <v>85</v>
      </c>
      <c r="I10" s="174">
        <v>85</v>
      </c>
      <c r="J10" s="174">
        <v>85</v>
      </c>
      <c r="K10" s="174">
        <v>85</v>
      </c>
      <c r="L10" s="174">
        <v>85</v>
      </c>
      <c r="M10" s="174">
        <v>85</v>
      </c>
      <c r="N10" s="174">
        <v>85</v>
      </c>
      <c r="O10" s="174">
        <v>85</v>
      </c>
      <c r="P10" s="175">
        <v>85</v>
      </c>
    </row>
    <row r="11" spans="1:16" ht="17.25" x14ac:dyDescent="0.2">
      <c r="A11" s="254">
        <f t="shared" si="0"/>
        <v>5</v>
      </c>
      <c r="B11" s="255" t="s">
        <v>470</v>
      </c>
      <c r="C11" s="254" t="s">
        <v>37</v>
      </c>
      <c r="D11" s="174">
        <v>76.001111111111101</v>
      </c>
      <c r="E11" s="174">
        <v>72.94731182795698</v>
      </c>
      <c r="F11" s="174">
        <v>66.437777777777782</v>
      </c>
      <c r="G11" s="174">
        <v>69.466666666666669</v>
      </c>
      <c r="H11" s="174">
        <v>65.047311827956989</v>
      </c>
      <c r="I11" s="174">
        <v>61.19111111111112</v>
      </c>
      <c r="J11" s="174">
        <v>59.92688172043011</v>
      </c>
      <c r="K11" s="174">
        <v>61.777777777777764</v>
      </c>
      <c r="L11" s="174">
        <v>67.238709677419351</v>
      </c>
      <c r="M11" s="174">
        <v>71.110752688172028</v>
      </c>
      <c r="N11" s="174">
        <v>79.080952380952368</v>
      </c>
      <c r="O11" s="174">
        <v>87.138709677419371</v>
      </c>
      <c r="P11" s="175"/>
    </row>
    <row r="12" spans="1:16" ht="17.25" x14ac:dyDescent="0.2">
      <c r="A12" s="254">
        <f t="shared" si="0"/>
        <v>6</v>
      </c>
      <c r="B12" s="255" t="s">
        <v>188</v>
      </c>
      <c r="C12" s="254" t="s">
        <v>37</v>
      </c>
      <c r="D12" s="174">
        <v>76.001111111111101</v>
      </c>
      <c r="E12" s="174">
        <v>74.449180327868845</v>
      </c>
      <c r="F12" s="174">
        <v>71.808058608058602</v>
      </c>
      <c r="G12" s="174">
        <v>71.213114754098356</v>
      </c>
      <c r="H12" s="174">
        <v>69.963834422657953</v>
      </c>
      <c r="I12" s="174">
        <v>68.525683060109287</v>
      </c>
      <c r="J12" s="174">
        <v>67.280062305295942</v>
      </c>
      <c r="K12" s="174">
        <v>66.603551912568307</v>
      </c>
      <c r="L12" s="174">
        <v>66.675151515151526</v>
      </c>
      <c r="M12" s="174">
        <v>67.124509803921583</v>
      </c>
      <c r="N12" s="174">
        <v>68.126846307385236</v>
      </c>
      <c r="O12" s="174">
        <v>69.74155251141552</v>
      </c>
      <c r="P12" s="175"/>
    </row>
    <row r="13" spans="1:16" ht="17.25" x14ac:dyDescent="0.2">
      <c r="A13" s="254">
        <f t="shared" si="0"/>
        <v>7</v>
      </c>
      <c r="B13" s="256" t="s">
        <v>189</v>
      </c>
      <c r="C13" s="257" t="s">
        <v>40</v>
      </c>
      <c r="D13" s="174">
        <v>273.60000000000002</v>
      </c>
      <c r="E13" s="174">
        <v>271.36</v>
      </c>
      <c r="F13" s="174">
        <v>239.18</v>
      </c>
      <c r="G13" s="174">
        <v>258.42</v>
      </c>
      <c r="H13" s="174">
        <v>241.98</v>
      </c>
      <c r="I13" s="174">
        <v>220.29</v>
      </c>
      <c r="J13" s="174">
        <v>222.93</v>
      </c>
      <c r="K13" s="174">
        <v>222.4</v>
      </c>
      <c r="L13" s="174">
        <v>250.13</v>
      </c>
      <c r="M13" s="174">
        <v>264.52999999999997</v>
      </c>
      <c r="N13" s="174">
        <v>265.70999999999998</v>
      </c>
      <c r="O13" s="174">
        <v>324.16000000000003</v>
      </c>
      <c r="P13" s="175">
        <f>SUM(D13:O13)</f>
        <v>3054.6900000000005</v>
      </c>
    </row>
    <row r="14" spans="1:16" ht="17.25" x14ac:dyDescent="0.2">
      <c r="A14" s="254">
        <f t="shared" si="0"/>
        <v>8</v>
      </c>
      <c r="B14" s="256" t="s">
        <v>190</v>
      </c>
      <c r="C14" s="257" t="s">
        <v>40</v>
      </c>
      <c r="D14" s="174">
        <v>13.12</v>
      </c>
      <c r="E14" s="174">
        <v>13.69</v>
      </c>
      <c r="F14" s="174">
        <v>12.9</v>
      </c>
      <c r="G14" s="174">
        <v>13.28</v>
      </c>
      <c r="H14" s="174">
        <v>12.86</v>
      </c>
      <c r="I14" s="174">
        <v>12.39</v>
      </c>
      <c r="J14" s="174">
        <v>12.75</v>
      </c>
      <c r="K14" s="174">
        <v>11.68</v>
      </c>
      <c r="L14" s="174">
        <v>11.59</v>
      </c>
      <c r="M14" s="174">
        <v>12.28</v>
      </c>
      <c r="N14" s="174">
        <v>11.47</v>
      </c>
      <c r="O14" s="174">
        <v>13.45</v>
      </c>
      <c r="P14" s="175">
        <f t="shared" ref="P14:P15" si="1">SUM(D14:O14)</f>
        <v>151.45999999999998</v>
      </c>
    </row>
    <row r="15" spans="1:16" ht="17.25" x14ac:dyDescent="0.2">
      <c r="A15" s="254">
        <f t="shared" si="0"/>
        <v>9</v>
      </c>
      <c r="B15" s="256" t="s">
        <v>206</v>
      </c>
      <c r="C15" s="257" t="s">
        <v>40</v>
      </c>
      <c r="D15" s="174">
        <v>260.48</v>
      </c>
      <c r="E15" s="174">
        <v>257.67</v>
      </c>
      <c r="F15" s="174">
        <v>226.28</v>
      </c>
      <c r="G15" s="174">
        <v>245.14000000000001</v>
      </c>
      <c r="H15" s="174">
        <v>229.12</v>
      </c>
      <c r="I15" s="174">
        <v>207.89999999999998</v>
      </c>
      <c r="J15" s="174">
        <v>210.18</v>
      </c>
      <c r="K15" s="174">
        <v>210.72</v>
      </c>
      <c r="L15" s="174">
        <v>238.54</v>
      </c>
      <c r="M15" s="174">
        <v>252.24999999999997</v>
      </c>
      <c r="N15" s="174">
        <v>254.23999999999998</v>
      </c>
      <c r="O15" s="174">
        <v>310.71000000000004</v>
      </c>
      <c r="P15" s="175">
        <f t="shared" si="1"/>
        <v>2903.23</v>
      </c>
    </row>
    <row r="16" spans="1:16" ht="17.25" x14ac:dyDescent="0.2">
      <c r="A16" s="254">
        <f t="shared" si="0"/>
        <v>10</v>
      </c>
      <c r="B16" s="256" t="s">
        <v>207</v>
      </c>
      <c r="C16" s="257" t="s">
        <v>40</v>
      </c>
      <c r="D16" s="174">
        <v>0</v>
      </c>
      <c r="E16" s="174">
        <v>0</v>
      </c>
      <c r="F16" s="174">
        <v>0</v>
      </c>
      <c r="G16" s="174">
        <v>0</v>
      </c>
      <c r="H16" s="174">
        <v>0</v>
      </c>
      <c r="I16" s="174">
        <v>0</v>
      </c>
      <c r="J16" s="174">
        <v>0</v>
      </c>
      <c r="K16" s="174">
        <v>0</v>
      </c>
      <c r="L16" s="174">
        <v>0</v>
      </c>
      <c r="M16" s="174">
        <v>0</v>
      </c>
      <c r="N16" s="174">
        <v>0</v>
      </c>
      <c r="O16" s="174">
        <v>0</v>
      </c>
      <c r="P16" s="175">
        <v>0</v>
      </c>
    </row>
    <row r="17" spans="1:16" ht="17.25" x14ac:dyDescent="0.2">
      <c r="A17" s="254">
        <f t="shared" si="0"/>
        <v>11</v>
      </c>
      <c r="B17" s="256" t="s">
        <v>191</v>
      </c>
      <c r="C17" s="257" t="s">
        <v>195</v>
      </c>
      <c r="D17" s="173">
        <v>3.74</v>
      </c>
      <c r="E17" s="173">
        <v>3.74</v>
      </c>
      <c r="F17" s="173">
        <v>3.74</v>
      </c>
      <c r="G17" s="173">
        <v>3.74</v>
      </c>
      <c r="H17" s="173">
        <v>3.74</v>
      </c>
      <c r="I17" s="173">
        <v>3.74</v>
      </c>
      <c r="J17" s="173">
        <v>3.74</v>
      </c>
      <c r="K17" s="173">
        <v>3.74</v>
      </c>
      <c r="L17" s="173">
        <v>3.74</v>
      </c>
      <c r="M17" s="173">
        <v>3.74</v>
      </c>
      <c r="N17" s="173">
        <v>3.74</v>
      </c>
      <c r="O17" s="173">
        <v>3.74</v>
      </c>
      <c r="P17" s="264"/>
    </row>
    <row r="18" spans="1:16" ht="17.25" x14ac:dyDescent="0.2">
      <c r="A18" s="254">
        <f t="shared" si="0"/>
        <v>12</v>
      </c>
      <c r="B18" s="256" t="s">
        <v>208</v>
      </c>
      <c r="C18" s="257" t="s">
        <v>196</v>
      </c>
      <c r="D18" s="174">
        <v>32.555833333333332</v>
      </c>
      <c r="E18" s="174">
        <v>32.555833333333332</v>
      </c>
      <c r="F18" s="174">
        <v>32.555833333333332</v>
      </c>
      <c r="G18" s="174">
        <v>32.555833333333332</v>
      </c>
      <c r="H18" s="174">
        <v>32.555833333333332</v>
      </c>
      <c r="I18" s="174">
        <v>32.555833333333332</v>
      </c>
      <c r="J18" s="174">
        <v>32.555833333333332</v>
      </c>
      <c r="K18" s="174">
        <v>32.555833333333332</v>
      </c>
      <c r="L18" s="174">
        <v>32.555833333333332</v>
      </c>
      <c r="M18" s="174">
        <v>32.555833333333332</v>
      </c>
      <c r="N18" s="174">
        <v>32.555833333333332</v>
      </c>
      <c r="O18" s="174">
        <v>32.555833333333332</v>
      </c>
      <c r="P18" s="175">
        <f>SUM(D18:O18)</f>
        <v>390.67</v>
      </c>
    </row>
    <row r="19" spans="1:16" ht="17.25" x14ac:dyDescent="0.2">
      <c r="A19" s="254">
        <f t="shared" si="0"/>
        <v>13</v>
      </c>
      <c r="B19" s="256" t="s">
        <v>347</v>
      </c>
      <c r="C19" s="257" t="s">
        <v>195</v>
      </c>
      <c r="D19" s="173">
        <v>4.0590000000000002</v>
      </c>
      <c r="E19" s="173">
        <v>4.093</v>
      </c>
      <c r="F19" s="173">
        <v>4.1719999999999997</v>
      </c>
      <c r="G19" s="173">
        <v>4.1710000000000003</v>
      </c>
      <c r="H19" s="173">
        <v>4.1479999999999997</v>
      </c>
      <c r="I19" s="173">
        <v>4.0609999999999999</v>
      </c>
      <c r="J19" s="173">
        <v>4.2409999999999997</v>
      </c>
      <c r="K19" s="173">
        <v>4.2130000000000001</v>
      </c>
      <c r="L19" s="173">
        <v>3.944</v>
      </c>
      <c r="M19" s="173">
        <v>4.0880000000000001</v>
      </c>
      <c r="N19" s="173">
        <v>4.234</v>
      </c>
      <c r="O19" s="173">
        <v>4.2510000000000003</v>
      </c>
      <c r="P19" s="265"/>
    </row>
    <row r="20" spans="1:16" ht="17.25" x14ac:dyDescent="0.2">
      <c r="A20" s="254">
        <f t="shared" si="0"/>
        <v>14</v>
      </c>
      <c r="B20" s="256" t="s">
        <v>192</v>
      </c>
      <c r="C20" s="257" t="s">
        <v>196</v>
      </c>
      <c r="D20" s="174">
        <v>32.555833333333332</v>
      </c>
      <c r="E20" s="174">
        <v>32.555833333333332</v>
      </c>
      <c r="F20" s="174">
        <v>32.555833333333318</v>
      </c>
      <c r="G20" s="174">
        <v>32.555833333333332</v>
      </c>
      <c r="H20" s="174">
        <v>32.555833333333347</v>
      </c>
      <c r="I20" s="174">
        <v>32.555833333333304</v>
      </c>
      <c r="J20" s="174">
        <v>32.555833333333347</v>
      </c>
      <c r="K20" s="174">
        <v>32.555833332999995</v>
      </c>
      <c r="L20" s="174">
        <v>32.555833332999995</v>
      </c>
      <c r="M20" s="174">
        <v>32.555833332999995</v>
      </c>
      <c r="N20" s="174">
        <v>32.555833332999995</v>
      </c>
      <c r="O20" s="174">
        <v>32.555833332999995</v>
      </c>
      <c r="P20" s="175">
        <f>SUM(D20:O20)</f>
        <v>390.66999999833337</v>
      </c>
    </row>
    <row r="21" spans="1:16" ht="17.25" x14ac:dyDescent="0.2">
      <c r="A21" s="254">
        <f t="shared" si="0"/>
        <v>15</v>
      </c>
      <c r="B21" s="256" t="s">
        <v>348</v>
      </c>
      <c r="C21" s="257" t="s">
        <v>196</v>
      </c>
      <c r="D21" s="174">
        <v>71.191315740000391</v>
      </c>
      <c r="E21" s="174">
        <v>70.422932789999109</v>
      </c>
      <c r="F21" s="174">
        <v>61.840164930000007</v>
      </c>
      <c r="G21" s="174">
        <v>66.996980639999691</v>
      </c>
      <c r="H21" s="174">
        <v>62.618250029999999</v>
      </c>
      <c r="I21" s="174">
        <v>56.818824030000805</v>
      </c>
      <c r="J21" s="174">
        <v>57.441319439999546</v>
      </c>
      <c r="K21" s="174">
        <v>78.809766199999999</v>
      </c>
      <c r="L21" s="174">
        <v>89.211416799999014</v>
      </c>
      <c r="M21" s="174">
        <v>94.343631800000125</v>
      </c>
      <c r="N21" s="174">
        <v>95.087405599999997</v>
      </c>
      <c r="O21" s="174">
        <v>116.20479199999902</v>
      </c>
      <c r="P21" s="175">
        <f>SUM(D21:O21)</f>
        <v>920.98679999999774</v>
      </c>
    </row>
    <row r="22" spans="1:16" ht="17.25" x14ac:dyDescent="0.2">
      <c r="A22" s="254">
        <f t="shared" si="0"/>
        <v>16</v>
      </c>
      <c r="B22" s="256" t="s">
        <v>209</v>
      </c>
      <c r="C22" s="257" t="s">
        <v>196</v>
      </c>
      <c r="D22" s="174">
        <v>34.534259575937043</v>
      </c>
      <c r="E22" s="174">
        <v>35.049321540000882</v>
      </c>
      <c r="F22" s="174">
        <v>32.558522088605592</v>
      </c>
      <c r="G22" s="174">
        <v>35.260785088583695</v>
      </c>
      <c r="H22" s="174">
        <v>32.416152924145891</v>
      </c>
      <c r="I22" s="174">
        <v>27.61522373735329</v>
      </c>
      <c r="J22" s="174">
        <v>31.70132195974908</v>
      </c>
      <c r="K22" s="174">
        <v>9.9758196786393398</v>
      </c>
      <c r="L22" s="174">
        <v>4.8673180465462806</v>
      </c>
      <c r="M22" s="174">
        <v>8.7752430677522657</v>
      </c>
      <c r="N22" s="174">
        <v>12.55184295995009</v>
      </c>
      <c r="O22" s="174">
        <v>15.873286176910138</v>
      </c>
      <c r="P22" s="175">
        <f>SUM(D22:O22)</f>
        <v>281.17909684417361</v>
      </c>
    </row>
    <row r="23" spans="1:16" ht="17.25" x14ac:dyDescent="0.2">
      <c r="A23" s="254">
        <f t="shared" si="0"/>
        <v>17</v>
      </c>
      <c r="B23" s="256" t="s">
        <v>193</v>
      </c>
      <c r="C23" s="257" t="s">
        <v>196</v>
      </c>
      <c r="D23" s="174"/>
      <c r="E23" s="174"/>
      <c r="F23" s="174"/>
      <c r="G23" s="174"/>
      <c r="H23" s="174"/>
      <c r="I23" s="174"/>
      <c r="J23" s="174"/>
      <c r="K23" s="174"/>
      <c r="L23" s="174"/>
      <c r="M23" s="174"/>
      <c r="N23" s="174"/>
      <c r="O23" s="174"/>
      <c r="P23" s="175"/>
    </row>
    <row r="24" spans="1:16" ht="17.25" x14ac:dyDescent="0.2">
      <c r="A24" s="254">
        <f t="shared" si="0"/>
        <v>18</v>
      </c>
      <c r="B24" s="258" t="s">
        <v>150</v>
      </c>
      <c r="C24" s="257" t="s">
        <v>196</v>
      </c>
      <c r="D24" s="175">
        <v>138.28140864927076</v>
      </c>
      <c r="E24" s="175">
        <v>138.02808766333331</v>
      </c>
      <c r="F24" s="175">
        <v>126.95452035193892</v>
      </c>
      <c r="G24" s="175">
        <v>134.81359906191673</v>
      </c>
      <c r="H24" s="175">
        <v>127.59023628747924</v>
      </c>
      <c r="I24" s="175">
        <v>116.9898811006874</v>
      </c>
      <c r="J24" s="175">
        <v>121.69847473308197</v>
      </c>
      <c r="K24" s="175">
        <v>121.34141921163933</v>
      </c>
      <c r="L24" s="175">
        <v>126.63456817954528</v>
      </c>
      <c r="M24" s="175">
        <v>135.67470820075238</v>
      </c>
      <c r="N24" s="175">
        <v>140.19508189295007</v>
      </c>
      <c r="O24" s="175">
        <v>164.63391150990915</v>
      </c>
      <c r="P24" s="175">
        <f>SUM(D24:O24)</f>
        <v>1592.8358968425048</v>
      </c>
    </row>
    <row r="25" spans="1:16" ht="17.25" x14ac:dyDescent="0.2">
      <c r="A25" s="254">
        <f t="shared" si="0"/>
        <v>19</v>
      </c>
      <c r="B25" s="259" t="s">
        <v>194</v>
      </c>
      <c r="C25" s="257"/>
      <c r="D25" s="174"/>
      <c r="E25" s="174"/>
      <c r="F25" s="174"/>
      <c r="G25" s="174"/>
      <c r="H25" s="174"/>
      <c r="I25" s="174"/>
      <c r="J25" s="174"/>
      <c r="K25" s="174"/>
      <c r="L25" s="174"/>
      <c r="M25" s="174"/>
      <c r="N25" s="174"/>
      <c r="O25" s="174"/>
      <c r="P25" s="175"/>
    </row>
    <row r="26" spans="1:16" ht="34.5" x14ac:dyDescent="0.2">
      <c r="A26" s="254" t="s">
        <v>436</v>
      </c>
      <c r="B26" s="256" t="s">
        <v>437</v>
      </c>
      <c r="C26" s="257" t="s">
        <v>196</v>
      </c>
      <c r="D26" s="174"/>
      <c r="E26" s="174"/>
      <c r="F26" s="174"/>
      <c r="G26" s="174"/>
      <c r="H26" s="174"/>
      <c r="I26" s="174"/>
      <c r="J26" s="174"/>
      <c r="K26" s="174"/>
      <c r="L26" s="174"/>
      <c r="M26" s="174"/>
      <c r="N26" s="174"/>
      <c r="O26" s="174"/>
      <c r="P26" s="175">
        <v>-67.63</v>
      </c>
    </row>
    <row r="27" spans="1:16" ht="17.25" x14ac:dyDescent="0.2">
      <c r="A27" s="254" t="s">
        <v>436</v>
      </c>
      <c r="B27" s="256" t="s">
        <v>471</v>
      </c>
      <c r="C27" s="257" t="s">
        <v>196</v>
      </c>
      <c r="D27" s="174"/>
      <c r="E27" s="174"/>
      <c r="F27" s="174"/>
      <c r="G27" s="174"/>
      <c r="H27" s="174"/>
      <c r="I27" s="174"/>
      <c r="J27" s="174"/>
      <c r="K27" s="174"/>
      <c r="L27" s="174"/>
      <c r="M27" s="174"/>
      <c r="N27" s="174"/>
      <c r="O27" s="174"/>
      <c r="P27" s="175">
        <v>0.45</v>
      </c>
    </row>
    <row r="28" spans="1:16" ht="17.25" x14ac:dyDescent="0.2">
      <c r="A28" s="254" t="s">
        <v>436</v>
      </c>
      <c r="B28" s="256" t="s">
        <v>100</v>
      </c>
      <c r="C28" s="257" t="s">
        <v>196</v>
      </c>
      <c r="D28" s="174"/>
      <c r="E28" s="174"/>
      <c r="F28" s="174"/>
      <c r="G28" s="174"/>
      <c r="H28" s="174"/>
      <c r="I28" s="174"/>
      <c r="J28" s="174"/>
      <c r="K28" s="174"/>
      <c r="L28" s="174"/>
      <c r="M28" s="174"/>
      <c r="N28" s="174"/>
      <c r="O28" s="174"/>
      <c r="P28" s="175">
        <v>0.91</v>
      </c>
    </row>
    <row r="29" spans="1:16" ht="34.5" x14ac:dyDescent="0.2">
      <c r="A29" s="254" t="s">
        <v>436</v>
      </c>
      <c r="B29" s="256" t="s">
        <v>438</v>
      </c>
      <c r="C29" s="257" t="s">
        <v>196</v>
      </c>
      <c r="D29" s="174"/>
      <c r="E29" s="174"/>
      <c r="F29" s="174"/>
      <c r="G29" s="174"/>
      <c r="H29" s="174"/>
      <c r="I29" s="174"/>
      <c r="J29" s="174"/>
      <c r="K29" s="174"/>
      <c r="L29" s="174"/>
      <c r="M29" s="174"/>
      <c r="N29" s="174"/>
      <c r="O29" s="174"/>
      <c r="P29" s="175"/>
    </row>
    <row r="30" spans="1:16" ht="17.25" x14ac:dyDescent="0.2">
      <c r="A30" s="257">
        <f>A25+1</f>
        <v>20</v>
      </c>
      <c r="B30" s="260" t="s">
        <v>164</v>
      </c>
      <c r="C30" s="257" t="s">
        <v>196</v>
      </c>
      <c r="D30" s="175">
        <v>138.28140864927076</v>
      </c>
      <c r="E30" s="175">
        <v>138.02808766333331</v>
      </c>
      <c r="F30" s="175">
        <v>126.95452035193892</v>
      </c>
      <c r="G30" s="175">
        <v>134.81359906191673</v>
      </c>
      <c r="H30" s="175">
        <v>127.59023628747924</v>
      </c>
      <c r="I30" s="175">
        <v>116.9898811006874</v>
      </c>
      <c r="J30" s="175">
        <v>121.69847473308197</v>
      </c>
      <c r="K30" s="175">
        <v>121.34141921163933</v>
      </c>
      <c r="L30" s="175">
        <v>126.63456817954528</v>
      </c>
      <c r="M30" s="175">
        <v>135.67470820075238</v>
      </c>
      <c r="N30" s="175">
        <v>140.19508189295007</v>
      </c>
      <c r="O30" s="175">
        <v>164.63391150990915</v>
      </c>
      <c r="P30" s="175">
        <f>P24+P26+P27+P28</f>
        <v>1526.565896842505</v>
      </c>
    </row>
    <row r="31" spans="1:16" ht="17.25" x14ac:dyDescent="0.2">
      <c r="A31" s="257">
        <f>A30+1</f>
        <v>21</v>
      </c>
      <c r="B31" s="259" t="s">
        <v>197</v>
      </c>
      <c r="C31" s="257" t="s">
        <v>196</v>
      </c>
      <c r="D31" s="174"/>
      <c r="E31" s="174"/>
      <c r="F31" s="174"/>
      <c r="G31" s="174"/>
      <c r="H31" s="174"/>
      <c r="I31" s="174"/>
      <c r="J31" s="174"/>
      <c r="K31" s="174"/>
      <c r="L31" s="174"/>
      <c r="M31" s="174"/>
      <c r="N31" s="174"/>
      <c r="O31" s="174"/>
      <c r="P31" s="175"/>
    </row>
    <row r="56" spans="4:16" x14ac:dyDescent="0.2">
      <c r="D56" s="289"/>
      <c r="E56" s="289"/>
      <c r="F56" s="289"/>
      <c r="G56" s="289"/>
      <c r="H56" s="289"/>
      <c r="I56" s="289"/>
      <c r="J56" s="289"/>
      <c r="K56" s="289"/>
      <c r="L56" s="289"/>
      <c r="M56" s="289"/>
      <c r="N56" s="289"/>
      <c r="O56" s="289"/>
      <c r="P56" s="289"/>
    </row>
    <row r="57" spans="4:16" x14ac:dyDescent="0.2">
      <c r="D57" s="289"/>
      <c r="E57" s="289"/>
      <c r="F57" s="289"/>
      <c r="G57" s="289"/>
      <c r="H57" s="289"/>
      <c r="I57" s="289"/>
      <c r="J57" s="289"/>
      <c r="K57" s="289"/>
      <c r="L57" s="289"/>
      <c r="M57" s="289"/>
      <c r="N57" s="289"/>
      <c r="O57" s="289"/>
      <c r="P57" s="289"/>
    </row>
    <row r="58" spans="4:16" x14ac:dyDescent="0.2">
      <c r="D58" s="289"/>
      <c r="E58" s="289"/>
      <c r="F58" s="289"/>
      <c r="G58" s="289"/>
      <c r="H58" s="289"/>
      <c r="I58" s="289"/>
      <c r="J58" s="289"/>
      <c r="K58" s="289"/>
      <c r="L58" s="289"/>
      <c r="M58" s="289"/>
      <c r="N58" s="289"/>
      <c r="O58" s="289"/>
      <c r="P58" s="289"/>
    </row>
    <row r="59" spans="4:16" x14ac:dyDescent="0.2">
      <c r="D59" s="289"/>
      <c r="E59" s="289"/>
      <c r="F59" s="289"/>
      <c r="G59" s="289"/>
      <c r="H59" s="289"/>
      <c r="I59" s="289"/>
      <c r="J59" s="289"/>
      <c r="K59" s="289"/>
      <c r="L59" s="289"/>
      <c r="M59" s="289"/>
      <c r="N59" s="289"/>
      <c r="O59" s="289"/>
      <c r="P59" s="289"/>
    </row>
    <row r="60" spans="4:16" x14ac:dyDescent="0.2">
      <c r="D60" s="289"/>
      <c r="E60" s="289"/>
      <c r="F60" s="289"/>
      <c r="G60" s="289"/>
      <c r="H60" s="289"/>
      <c r="I60" s="289"/>
      <c r="J60" s="289"/>
      <c r="K60" s="289"/>
      <c r="L60" s="289"/>
      <c r="M60" s="289"/>
      <c r="N60" s="289"/>
      <c r="O60" s="289"/>
      <c r="P60" s="289"/>
    </row>
    <row r="61" spans="4:16" x14ac:dyDescent="0.2">
      <c r="D61" s="289"/>
      <c r="E61" s="289"/>
      <c r="F61" s="289"/>
      <c r="G61" s="289"/>
      <c r="H61" s="289"/>
      <c r="I61" s="289"/>
      <c r="J61" s="289"/>
      <c r="K61" s="289"/>
      <c r="L61" s="289"/>
      <c r="M61" s="289"/>
      <c r="N61" s="289"/>
      <c r="O61" s="289"/>
      <c r="P61" s="289"/>
    </row>
    <row r="62" spans="4:16" x14ac:dyDescent="0.2">
      <c r="D62" s="289"/>
      <c r="E62" s="289"/>
      <c r="F62" s="289"/>
      <c r="G62" s="289"/>
      <c r="H62" s="289"/>
      <c r="I62" s="289"/>
      <c r="J62" s="289"/>
      <c r="K62" s="289"/>
      <c r="L62" s="289"/>
      <c r="M62" s="289"/>
      <c r="N62" s="289"/>
      <c r="O62" s="289"/>
      <c r="P62" s="289"/>
    </row>
    <row r="63" spans="4:16" x14ac:dyDescent="0.2">
      <c r="D63" s="289"/>
      <c r="E63" s="289"/>
      <c r="F63" s="289"/>
      <c r="G63" s="289"/>
      <c r="H63" s="289"/>
      <c r="I63" s="289"/>
      <c r="J63" s="289"/>
      <c r="K63" s="289"/>
      <c r="L63" s="289"/>
      <c r="M63" s="289"/>
      <c r="N63" s="289"/>
      <c r="O63" s="289"/>
      <c r="P63" s="289"/>
    </row>
    <row r="64" spans="4:16" x14ac:dyDescent="0.2">
      <c r="D64" s="289"/>
      <c r="E64" s="289"/>
      <c r="F64" s="289"/>
      <c r="G64" s="289"/>
      <c r="H64" s="289"/>
      <c r="I64" s="289"/>
      <c r="J64" s="289"/>
      <c r="K64" s="289"/>
      <c r="L64" s="289"/>
      <c r="M64" s="289"/>
      <c r="N64" s="289"/>
      <c r="O64" s="289"/>
      <c r="P64" s="289"/>
    </row>
    <row r="65" spans="4:16" x14ac:dyDescent="0.2">
      <c r="D65" s="289"/>
      <c r="E65" s="289"/>
      <c r="F65" s="289"/>
      <c r="G65" s="289"/>
      <c r="H65" s="289"/>
      <c r="I65" s="289"/>
      <c r="J65" s="289"/>
      <c r="K65" s="289"/>
      <c r="L65" s="289"/>
      <c r="M65" s="289"/>
      <c r="N65" s="289"/>
      <c r="O65" s="289"/>
      <c r="P65" s="289"/>
    </row>
    <row r="66" spans="4:16" x14ac:dyDescent="0.2">
      <c r="D66" s="289"/>
      <c r="E66" s="289"/>
      <c r="F66" s="289"/>
      <c r="G66" s="289"/>
      <c r="H66" s="289"/>
      <c r="I66" s="289"/>
      <c r="J66" s="289"/>
      <c r="K66" s="289"/>
      <c r="L66" s="289"/>
      <c r="M66" s="289"/>
      <c r="N66" s="289"/>
      <c r="O66" s="289"/>
      <c r="P66" s="289"/>
    </row>
    <row r="67" spans="4:16" x14ac:dyDescent="0.2">
      <c r="D67" s="289"/>
      <c r="E67" s="289"/>
      <c r="F67" s="289"/>
      <c r="G67" s="289"/>
      <c r="H67" s="289"/>
      <c r="I67" s="289"/>
      <c r="J67" s="289"/>
      <c r="K67" s="289"/>
      <c r="L67" s="289"/>
      <c r="M67" s="289"/>
      <c r="N67" s="289"/>
      <c r="O67" s="289"/>
      <c r="P67" s="289"/>
    </row>
    <row r="68" spans="4:16" x14ac:dyDescent="0.2">
      <c r="D68" s="289"/>
      <c r="E68" s="289"/>
      <c r="F68" s="289"/>
      <c r="G68" s="289"/>
      <c r="H68" s="289"/>
      <c r="I68" s="289"/>
      <c r="J68" s="289"/>
      <c r="K68" s="289"/>
      <c r="L68" s="289"/>
      <c r="M68" s="289"/>
      <c r="N68" s="289"/>
      <c r="O68" s="289"/>
      <c r="P68" s="289"/>
    </row>
    <row r="69" spans="4:16" x14ac:dyDescent="0.2">
      <c r="D69" s="289"/>
      <c r="E69" s="289"/>
      <c r="F69" s="289"/>
      <c r="G69" s="289"/>
      <c r="H69" s="289"/>
      <c r="I69" s="289"/>
      <c r="J69" s="289"/>
      <c r="K69" s="289"/>
      <c r="L69" s="289"/>
      <c r="M69" s="289"/>
      <c r="N69" s="289"/>
      <c r="O69" s="289"/>
      <c r="P69" s="289"/>
    </row>
    <row r="70" spans="4:16" x14ac:dyDescent="0.2">
      <c r="D70" s="289"/>
      <c r="E70" s="289"/>
      <c r="F70" s="289"/>
      <c r="G70" s="289"/>
      <c r="H70" s="289"/>
      <c r="I70" s="289"/>
      <c r="J70" s="289"/>
      <c r="K70" s="289"/>
      <c r="L70" s="289"/>
      <c r="M70" s="289"/>
      <c r="N70" s="289"/>
      <c r="O70" s="289"/>
      <c r="P70" s="289"/>
    </row>
    <row r="71" spans="4:16" x14ac:dyDescent="0.2">
      <c r="D71" s="289"/>
      <c r="E71" s="289"/>
      <c r="F71" s="289"/>
      <c r="G71" s="289"/>
      <c r="H71" s="289"/>
      <c r="I71" s="289"/>
      <c r="J71" s="289"/>
      <c r="K71" s="289"/>
      <c r="L71" s="289"/>
      <c r="M71" s="289"/>
      <c r="N71" s="289"/>
      <c r="O71" s="289"/>
      <c r="P71" s="289"/>
    </row>
    <row r="72" spans="4:16" x14ac:dyDescent="0.2">
      <c r="D72" s="289"/>
      <c r="E72" s="289"/>
      <c r="F72" s="289"/>
      <c r="G72" s="289"/>
      <c r="H72" s="289"/>
      <c r="I72" s="289"/>
      <c r="J72" s="289"/>
      <c r="K72" s="289"/>
      <c r="L72" s="289"/>
      <c r="M72" s="289"/>
      <c r="N72" s="289"/>
      <c r="O72" s="289"/>
      <c r="P72" s="289"/>
    </row>
    <row r="73" spans="4:16" x14ac:dyDescent="0.2">
      <c r="D73" s="289"/>
      <c r="E73" s="289"/>
      <c r="F73" s="289"/>
      <c r="G73" s="289"/>
      <c r="H73" s="289"/>
      <c r="I73" s="289"/>
      <c r="J73" s="289"/>
      <c r="K73" s="289"/>
      <c r="L73" s="289"/>
      <c r="M73" s="289"/>
      <c r="N73" s="289"/>
      <c r="O73" s="289"/>
      <c r="P73" s="289"/>
    </row>
    <row r="74" spans="4:16" x14ac:dyDescent="0.2">
      <c r="D74" s="289"/>
      <c r="E74" s="289"/>
      <c r="F74" s="289"/>
      <c r="G74" s="289"/>
      <c r="H74" s="289"/>
      <c r="I74" s="289"/>
      <c r="J74" s="289"/>
      <c r="K74" s="289"/>
      <c r="L74" s="289"/>
      <c r="M74" s="289"/>
      <c r="N74" s="289"/>
      <c r="O74" s="289"/>
      <c r="P74" s="289"/>
    </row>
    <row r="75" spans="4:16" x14ac:dyDescent="0.2">
      <c r="D75" s="289"/>
      <c r="E75" s="289"/>
      <c r="F75" s="289"/>
      <c r="G75" s="289"/>
      <c r="H75" s="289"/>
      <c r="I75" s="289"/>
      <c r="J75" s="289"/>
      <c r="K75" s="289"/>
      <c r="L75" s="289"/>
      <c r="M75" s="289"/>
      <c r="N75" s="289"/>
      <c r="O75" s="289"/>
      <c r="P75" s="289"/>
    </row>
    <row r="76" spans="4:16" x14ac:dyDescent="0.2">
      <c r="D76" s="289"/>
      <c r="E76" s="289"/>
      <c r="F76" s="289"/>
      <c r="G76" s="289"/>
      <c r="H76" s="289"/>
      <c r="I76" s="289"/>
      <c r="J76" s="289"/>
      <c r="K76" s="289"/>
      <c r="L76" s="289"/>
      <c r="M76" s="289"/>
      <c r="N76" s="289"/>
      <c r="O76" s="289"/>
      <c r="P76" s="289"/>
    </row>
    <row r="77" spans="4:16" x14ac:dyDescent="0.2">
      <c r="D77" s="289"/>
      <c r="E77" s="289"/>
      <c r="F77" s="289"/>
      <c r="G77" s="289"/>
      <c r="H77" s="289"/>
      <c r="I77" s="289"/>
      <c r="J77" s="289"/>
      <c r="K77" s="289"/>
      <c r="L77" s="289"/>
      <c r="M77" s="289"/>
      <c r="N77" s="289"/>
      <c r="O77" s="289"/>
      <c r="P77" s="289"/>
    </row>
    <row r="78" spans="4:16" x14ac:dyDescent="0.2">
      <c r="D78" s="289"/>
      <c r="E78" s="289"/>
      <c r="F78" s="289"/>
      <c r="G78" s="289"/>
      <c r="H78" s="289"/>
      <c r="I78" s="289"/>
      <c r="J78" s="289"/>
      <c r="K78" s="289"/>
      <c r="L78" s="289"/>
      <c r="M78" s="289"/>
      <c r="N78" s="289"/>
      <c r="O78" s="289"/>
      <c r="P78" s="289"/>
    </row>
    <row r="79" spans="4:16" x14ac:dyDescent="0.2">
      <c r="D79" s="289"/>
      <c r="E79" s="289"/>
      <c r="F79" s="289"/>
      <c r="G79" s="289"/>
      <c r="H79" s="289"/>
      <c r="I79" s="289"/>
      <c r="J79" s="289"/>
      <c r="K79" s="289"/>
      <c r="L79" s="289"/>
      <c r="M79" s="289"/>
      <c r="N79" s="289"/>
      <c r="O79" s="289"/>
      <c r="P79" s="289"/>
    </row>
    <row r="80" spans="4:16" x14ac:dyDescent="0.2">
      <c r="D80" s="289"/>
      <c r="E80" s="289"/>
      <c r="F80" s="289"/>
      <c r="G80" s="289"/>
      <c r="H80" s="289"/>
      <c r="I80" s="289"/>
      <c r="J80" s="289"/>
      <c r="K80" s="289"/>
      <c r="L80" s="289"/>
      <c r="M80" s="289"/>
      <c r="N80" s="289"/>
      <c r="O80" s="289"/>
      <c r="P80" s="289"/>
    </row>
    <row r="81" spans="4:16" x14ac:dyDescent="0.2">
      <c r="D81" s="289"/>
      <c r="E81" s="289"/>
      <c r="F81" s="289"/>
      <c r="G81" s="289"/>
      <c r="H81" s="289"/>
      <c r="I81" s="289"/>
      <c r="J81" s="289"/>
      <c r="K81" s="289"/>
      <c r="L81" s="289"/>
      <c r="M81" s="289"/>
      <c r="N81" s="289"/>
      <c r="O81" s="289"/>
      <c r="P81" s="289"/>
    </row>
    <row r="82" spans="4:16" x14ac:dyDescent="0.2">
      <c r="D82" s="289"/>
      <c r="E82" s="289"/>
      <c r="F82" s="289"/>
      <c r="G82" s="289"/>
      <c r="H82" s="289"/>
      <c r="I82" s="289"/>
      <c r="J82" s="289"/>
      <c r="K82" s="289"/>
      <c r="L82" s="289"/>
      <c r="M82" s="289"/>
      <c r="N82" s="289"/>
      <c r="O82" s="289"/>
      <c r="P82" s="289"/>
    </row>
  </sheetData>
  <mergeCells count="3">
    <mergeCell ref="A1:P1"/>
    <mergeCell ref="A2:P2"/>
    <mergeCell ref="A3:P3"/>
  </mergeCells>
  <pageMargins left="0.2" right="0.2" top="0.25" bottom="0.25" header="0.3" footer="0.3"/>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5"/>
  <sheetViews>
    <sheetView showGridLines="0" view="pageBreakPreview" zoomScale="95" zoomScaleNormal="95" zoomScaleSheetLayoutView="95" workbookViewId="0">
      <selection activeCell="J13" sqref="J13"/>
    </sheetView>
  </sheetViews>
  <sheetFormatPr defaultColWidth="9.28515625" defaultRowHeight="14.25" x14ac:dyDescent="0.2"/>
  <cols>
    <col min="1" max="1" width="3.28515625" style="5" customWidth="1"/>
    <col min="2" max="2" width="5.7109375" style="5" customWidth="1"/>
    <col min="3" max="3" width="20.7109375" style="5" customWidth="1"/>
    <col min="4" max="4" width="11.85546875" style="5" customWidth="1"/>
    <col min="5" max="5" width="11.5703125" style="5" customWidth="1"/>
    <col min="6" max="6" width="11.7109375" style="5" customWidth="1"/>
    <col min="7" max="7" width="10.7109375" style="5" customWidth="1"/>
    <col min="8" max="8" width="9.5703125" style="5" customWidth="1"/>
    <col min="9" max="10" width="10.28515625" style="5" customWidth="1"/>
    <col min="11" max="11" width="10" style="5" customWidth="1"/>
    <col min="12" max="16384" width="9.28515625" style="5"/>
  </cols>
  <sheetData>
    <row r="1" spans="2:11" ht="15" x14ac:dyDescent="0.2">
      <c r="C1" s="36"/>
      <c r="D1" s="36"/>
      <c r="E1" s="36"/>
      <c r="F1" s="36"/>
      <c r="G1" s="36"/>
      <c r="I1" s="33"/>
      <c r="J1" s="33"/>
      <c r="K1" s="36"/>
    </row>
    <row r="2" spans="2:11" ht="15" x14ac:dyDescent="0.2">
      <c r="B2" s="311" t="s">
        <v>383</v>
      </c>
      <c r="C2" s="311"/>
      <c r="D2" s="311"/>
      <c r="E2" s="311"/>
      <c r="F2" s="311"/>
      <c r="G2" s="311"/>
      <c r="H2" s="311"/>
      <c r="I2" s="311"/>
      <c r="J2" s="311"/>
      <c r="K2" s="311"/>
    </row>
    <row r="3" spans="2:11" ht="15" x14ac:dyDescent="0.2">
      <c r="B3" s="311" t="s">
        <v>448</v>
      </c>
      <c r="C3" s="311"/>
      <c r="D3" s="311"/>
      <c r="E3" s="311"/>
      <c r="F3" s="311"/>
      <c r="G3" s="311"/>
      <c r="H3" s="311"/>
      <c r="I3" s="311"/>
      <c r="J3" s="311"/>
      <c r="K3" s="311"/>
    </row>
    <row r="4" spans="2:11" ht="15" x14ac:dyDescent="0.2">
      <c r="B4" s="311" t="s">
        <v>357</v>
      </c>
      <c r="C4" s="311"/>
      <c r="D4" s="311"/>
      <c r="E4" s="311"/>
      <c r="F4" s="311"/>
      <c r="G4" s="311"/>
      <c r="H4" s="311"/>
      <c r="I4" s="311"/>
      <c r="J4" s="311"/>
      <c r="K4" s="311"/>
    </row>
    <row r="5" spans="2:11" ht="15" x14ac:dyDescent="0.2">
      <c r="B5" s="312" t="s">
        <v>63</v>
      </c>
      <c r="C5" s="312"/>
      <c r="D5" s="312"/>
      <c r="E5" s="312"/>
      <c r="F5" s="312"/>
      <c r="G5" s="312"/>
      <c r="H5" s="312"/>
      <c r="I5" s="312"/>
      <c r="J5" s="312"/>
      <c r="K5" s="312"/>
    </row>
    <row r="6" spans="2:11" ht="15" x14ac:dyDescent="0.2">
      <c r="K6" s="26" t="s">
        <v>4</v>
      </c>
    </row>
    <row r="7" spans="2:11" ht="15" customHeight="1" x14ac:dyDescent="0.2">
      <c r="B7" s="313" t="s">
        <v>186</v>
      </c>
      <c r="C7" s="313" t="s">
        <v>14</v>
      </c>
      <c r="D7" s="314" t="s">
        <v>1</v>
      </c>
      <c r="E7" s="308" t="s">
        <v>384</v>
      </c>
      <c r="F7" s="309"/>
      <c r="G7" s="310"/>
      <c r="H7" s="308" t="s">
        <v>385</v>
      </c>
      <c r="I7" s="310"/>
      <c r="J7" s="308" t="s">
        <v>445</v>
      </c>
      <c r="K7" s="310"/>
    </row>
    <row r="8" spans="2:11" ht="75" x14ac:dyDescent="0.2">
      <c r="B8" s="313"/>
      <c r="C8" s="313"/>
      <c r="D8" s="315"/>
      <c r="E8" s="15" t="s">
        <v>350</v>
      </c>
      <c r="F8" s="15" t="s">
        <v>230</v>
      </c>
      <c r="G8" s="15" t="s">
        <v>443</v>
      </c>
      <c r="H8" s="15" t="s">
        <v>350</v>
      </c>
      <c r="I8" s="15" t="s">
        <v>229</v>
      </c>
      <c r="J8" s="15" t="s">
        <v>350</v>
      </c>
      <c r="K8" s="15" t="s">
        <v>229</v>
      </c>
    </row>
    <row r="9" spans="2:11" ht="45" x14ac:dyDescent="0.2">
      <c r="B9" s="313"/>
      <c r="C9" s="313"/>
      <c r="D9" s="316"/>
      <c r="E9" s="15" t="s">
        <v>10</v>
      </c>
      <c r="F9" s="15" t="s">
        <v>12</v>
      </c>
      <c r="G9" s="15" t="s">
        <v>221</v>
      </c>
      <c r="H9" s="15" t="s">
        <v>10</v>
      </c>
      <c r="I9" s="15" t="s">
        <v>441</v>
      </c>
      <c r="J9" s="15" t="s">
        <v>10</v>
      </c>
      <c r="K9" s="15" t="s">
        <v>441</v>
      </c>
    </row>
    <row r="10" spans="2:11" x14ac:dyDescent="0.2">
      <c r="B10" s="20">
        <v>1</v>
      </c>
      <c r="C10" s="29" t="s">
        <v>64</v>
      </c>
      <c r="D10" s="29" t="s">
        <v>20</v>
      </c>
      <c r="E10" s="113"/>
      <c r="F10" s="131">
        <f>F2.1!D36</f>
        <v>239.06</v>
      </c>
      <c r="G10" s="131">
        <f>F10</f>
        <v>239.06</v>
      </c>
      <c r="H10" s="113"/>
      <c r="I10" s="131">
        <f>F2.1!E36</f>
        <v>250.46</v>
      </c>
      <c r="J10" s="113"/>
      <c r="K10" s="131">
        <f>F2.1!F36</f>
        <v>260.47000000000003</v>
      </c>
    </row>
    <row r="11" spans="2:11" x14ac:dyDescent="0.2">
      <c r="B11" s="20">
        <f>B10+1</f>
        <v>2</v>
      </c>
      <c r="C11" s="37" t="s">
        <v>231</v>
      </c>
      <c r="D11" s="37" t="s">
        <v>21</v>
      </c>
      <c r="E11" s="118"/>
      <c r="F11" s="132">
        <f>F2.2!D38</f>
        <v>13.33</v>
      </c>
      <c r="G11" s="131">
        <f t="shared" ref="G11:G12" si="0">F11</f>
        <v>13.33</v>
      </c>
      <c r="H11" s="113"/>
      <c r="I11" s="131">
        <f>F2.2!E38</f>
        <v>14.23</v>
      </c>
      <c r="J11" s="113"/>
      <c r="K11" s="131">
        <f>F2.2!F38</f>
        <v>15.09</v>
      </c>
    </row>
    <row r="12" spans="2:11" x14ac:dyDescent="0.2">
      <c r="B12" s="20">
        <f>B11+1</f>
        <v>3</v>
      </c>
      <c r="C12" s="29" t="s">
        <v>202</v>
      </c>
      <c r="D12" s="29" t="s">
        <v>249</v>
      </c>
      <c r="E12" s="113"/>
      <c r="F12" s="131">
        <f>F2.3!D18</f>
        <v>33.26</v>
      </c>
      <c r="G12" s="131">
        <f t="shared" si="0"/>
        <v>33.26</v>
      </c>
      <c r="H12" s="113"/>
      <c r="I12" s="131">
        <f>F2.3!E18</f>
        <v>35.29</v>
      </c>
      <c r="J12" s="113"/>
      <c r="K12" s="131">
        <f>F2.3!F18</f>
        <v>37.409999999999997</v>
      </c>
    </row>
    <row r="13" spans="2:11" ht="15" x14ac:dyDescent="0.2">
      <c r="B13" s="20">
        <f>B12+1</f>
        <v>4</v>
      </c>
      <c r="C13" s="29" t="s">
        <v>65</v>
      </c>
      <c r="D13" s="29"/>
      <c r="E13" s="133">
        <v>206.97</v>
      </c>
      <c r="F13" s="133">
        <f t="shared" ref="F13:K13" si="1">ROUND(SUM(F10:F12),2)</f>
        <v>285.64999999999998</v>
      </c>
      <c r="G13" s="133">
        <f t="shared" si="1"/>
        <v>285.64999999999998</v>
      </c>
      <c r="H13" s="133">
        <v>218.59</v>
      </c>
      <c r="I13" s="133">
        <f t="shared" si="1"/>
        <v>299.98</v>
      </c>
      <c r="J13" s="133">
        <v>230.86</v>
      </c>
      <c r="K13" s="133">
        <f t="shared" si="1"/>
        <v>312.97000000000003</v>
      </c>
    </row>
    <row r="14" spans="2:11" x14ac:dyDescent="0.2">
      <c r="B14" s="50" t="s">
        <v>232</v>
      </c>
      <c r="C14" s="51"/>
      <c r="D14" s="48"/>
      <c r="E14" s="147"/>
      <c r="F14" s="48"/>
      <c r="G14" s="49"/>
      <c r="H14" s="49"/>
      <c r="I14" s="49"/>
      <c r="J14" s="49"/>
      <c r="K14" s="49"/>
    </row>
    <row r="15" spans="2:11" x14ac:dyDescent="0.2">
      <c r="B15" s="52">
        <v>1</v>
      </c>
      <c r="C15" s="51" t="s">
        <v>233</v>
      </c>
    </row>
  </sheetData>
  <mergeCells count="10">
    <mergeCell ref="B4:K4"/>
    <mergeCell ref="B3:K3"/>
    <mergeCell ref="B2:K2"/>
    <mergeCell ref="B5:K5"/>
    <mergeCell ref="B7:B9"/>
    <mergeCell ref="C7:C9"/>
    <mergeCell ref="H7:I7"/>
    <mergeCell ref="E7:G7"/>
    <mergeCell ref="D7:D9"/>
    <mergeCell ref="J7:K7"/>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38"/>
  <sheetViews>
    <sheetView showGridLines="0" view="pageBreakPreview" topLeftCell="A18" zoomScale="98" zoomScaleNormal="95" zoomScaleSheetLayoutView="98" workbookViewId="0">
      <selection activeCell="D36" sqref="D36"/>
    </sheetView>
  </sheetViews>
  <sheetFormatPr defaultColWidth="9.28515625" defaultRowHeight="14.25" x14ac:dyDescent="0.2"/>
  <cols>
    <col min="1" max="1" width="4.140625" style="13" customWidth="1"/>
    <col min="2" max="2" width="7" style="13" customWidth="1"/>
    <col min="3" max="3" width="40.7109375" style="13" customWidth="1"/>
    <col min="4" max="4" width="12.7109375" style="13" customWidth="1"/>
    <col min="5" max="5" width="13.28515625" style="13" customWidth="1"/>
    <col min="6" max="6" width="11.85546875" style="13" customWidth="1"/>
    <col min="7" max="7" width="9.28515625" style="13"/>
    <col min="8" max="8" width="16.28515625" style="13" bestFit="1" customWidth="1"/>
    <col min="9" max="16384" width="9.28515625" style="13"/>
  </cols>
  <sheetData>
    <row r="1" spans="2:8" ht="7.5" customHeight="1" x14ac:dyDescent="0.2"/>
    <row r="2" spans="2:8" ht="14.25" customHeight="1" x14ac:dyDescent="0.2">
      <c r="B2" s="311" t="s">
        <v>383</v>
      </c>
      <c r="C2" s="311"/>
      <c r="D2" s="311"/>
      <c r="E2" s="311"/>
      <c r="F2" s="311"/>
    </row>
    <row r="3" spans="2:8" ht="14.25" customHeight="1" x14ac:dyDescent="0.2">
      <c r="B3" s="311" t="s">
        <v>448</v>
      </c>
      <c r="C3" s="311"/>
      <c r="D3" s="311"/>
      <c r="E3" s="311"/>
      <c r="F3" s="311"/>
    </row>
    <row r="4" spans="2:8" s="4" customFormat="1" ht="14.25" customHeight="1" x14ac:dyDescent="0.2">
      <c r="B4" s="311" t="s">
        <v>250</v>
      </c>
      <c r="C4" s="311"/>
      <c r="D4" s="311"/>
      <c r="E4" s="311"/>
      <c r="F4" s="311"/>
    </row>
    <row r="5" spans="2:8" s="4" customFormat="1" ht="3" customHeight="1" x14ac:dyDescent="0.25">
      <c r="C5" s="41"/>
      <c r="D5" s="42"/>
      <c r="E5" s="42"/>
    </row>
    <row r="6" spans="2:8" ht="15" x14ac:dyDescent="0.2">
      <c r="F6" s="26" t="s">
        <v>4</v>
      </c>
    </row>
    <row r="7" spans="2:8" ht="12.75" customHeight="1" x14ac:dyDescent="0.2">
      <c r="B7" s="304" t="s">
        <v>2</v>
      </c>
      <c r="C7" s="304" t="s">
        <v>14</v>
      </c>
      <c r="D7" s="15" t="s">
        <v>384</v>
      </c>
      <c r="E7" s="15" t="s">
        <v>385</v>
      </c>
      <c r="F7" s="23" t="s">
        <v>445</v>
      </c>
    </row>
    <row r="8" spans="2:8" ht="15" x14ac:dyDescent="0.2">
      <c r="B8" s="304"/>
      <c r="C8" s="304"/>
      <c r="D8" s="15" t="s">
        <v>230</v>
      </c>
      <c r="E8" s="15" t="s">
        <v>229</v>
      </c>
      <c r="F8" s="15" t="s">
        <v>229</v>
      </c>
    </row>
    <row r="9" spans="2:8" ht="15" x14ac:dyDescent="0.2">
      <c r="B9" s="317"/>
      <c r="C9" s="304"/>
      <c r="D9" s="15" t="s">
        <v>12</v>
      </c>
      <c r="E9" s="15" t="s">
        <v>5</v>
      </c>
      <c r="F9" s="15" t="s">
        <v>8</v>
      </c>
    </row>
    <row r="10" spans="2:8" ht="18" customHeight="1" x14ac:dyDescent="0.2">
      <c r="B10" s="2">
        <v>1</v>
      </c>
      <c r="C10" s="43" t="s">
        <v>68</v>
      </c>
      <c r="D10" s="243">
        <v>123.54032577863228</v>
      </c>
      <c r="E10" s="243">
        <v>129.35260334433229</v>
      </c>
      <c r="F10" s="243">
        <v>134.52670747810558</v>
      </c>
      <c r="H10" s="134"/>
    </row>
    <row r="11" spans="2:8" ht="18" customHeight="1" x14ac:dyDescent="0.2">
      <c r="B11" s="2">
        <v>2</v>
      </c>
      <c r="C11" s="43" t="s">
        <v>69</v>
      </c>
      <c r="D11" s="243">
        <v>16.108385256552445</v>
      </c>
      <c r="E11" s="243">
        <v>16.863870358008175</v>
      </c>
      <c r="F11" s="243">
        <v>17.538425172328502</v>
      </c>
      <c r="H11" s="134"/>
    </row>
    <row r="12" spans="2:8" ht="18" customHeight="1" x14ac:dyDescent="0.2">
      <c r="B12" s="2">
        <v>3</v>
      </c>
      <c r="C12" s="3" t="s">
        <v>70</v>
      </c>
      <c r="D12" s="243">
        <v>9.2812853119600671</v>
      </c>
      <c r="E12" s="243">
        <v>9.9078467766981042</v>
      </c>
      <c r="F12" s="243">
        <v>10.304160647766029</v>
      </c>
      <c r="H12" s="134"/>
    </row>
    <row r="13" spans="2:8" ht="18" customHeight="1" x14ac:dyDescent="0.2">
      <c r="B13" s="2">
        <v>4</v>
      </c>
      <c r="C13" s="43" t="s">
        <v>71</v>
      </c>
      <c r="D13" s="243">
        <v>1.2414189972257719</v>
      </c>
      <c r="E13" s="243">
        <v>1.3074515140642409</v>
      </c>
      <c r="F13" s="243">
        <v>1.3597495746268105</v>
      </c>
      <c r="H13" s="134"/>
    </row>
    <row r="14" spans="2:8" ht="18" customHeight="1" x14ac:dyDescent="0.2">
      <c r="B14" s="2">
        <v>5</v>
      </c>
      <c r="C14" s="43" t="s">
        <v>72</v>
      </c>
      <c r="D14" s="243">
        <v>0</v>
      </c>
      <c r="E14" s="243">
        <v>0</v>
      </c>
      <c r="F14" s="243">
        <v>0</v>
      </c>
      <c r="H14" s="134"/>
    </row>
    <row r="15" spans="2:8" ht="18" customHeight="1" x14ac:dyDescent="0.2">
      <c r="B15" s="2">
        <v>6</v>
      </c>
      <c r="C15" s="3" t="s">
        <v>73</v>
      </c>
      <c r="D15" s="243">
        <v>15.348837122708307</v>
      </c>
      <c r="E15" s="243">
        <v>15.892606088432679</v>
      </c>
      <c r="F15" s="243">
        <v>16.528310331969987</v>
      </c>
      <c r="H15" s="134"/>
    </row>
    <row r="16" spans="2:8" ht="18" customHeight="1" x14ac:dyDescent="0.2">
      <c r="B16" s="2">
        <v>7</v>
      </c>
      <c r="C16" s="43" t="s">
        <v>74</v>
      </c>
      <c r="D16" s="243">
        <v>24.775162399251666</v>
      </c>
      <c r="E16" s="243">
        <v>26.024677764784826</v>
      </c>
      <c r="F16" s="243">
        <v>27.065664875376221</v>
      </c>
      <c r="H16" s="134"/>
    </row>
    <row r="17" spans="2:8" ht="18" customHeight="1" x14ac:dyDescent="0.2">
      <c r="B17" s="2">
        <v>8</v>
      </c>
      <c r="C17" s="43" t="s">
        <v>75</v>
      </c>
      <c r="D17" s="243">
        <v>0.47698618647002888</v>
      </c>
      <c r="E17" s="243">
        <v>0.42146770085518176</v>
      </c>
      <c r="F17" s="243">
        <v>0.43832640888938906</v>
      </c>
      <c r="H17" s="134"/>
    </row>
    <row r="18" spans="2:8" ht="18" customHeight="1" x14ac:dyDescent="0.2">
      <c r="B18" s="2">
        <v>9</v>
      </c>
      <c r="C18" s="43" t="s">
        <v>76</v>
      </c>
      <c r="D18" s="243">
        <v>0</v>
      </c>
      <c r="E18" s="243">
        <v>0</v>
      </c>
      <c r="F18" s="243">
        <v>0</v>
      </c>
      <c r="H18" s="134"/>
    </row>
    <row r="19" spans="2:8" ht="18" customHeight="1" x14ac:dyDescent="0.2">
      <c r="B19" s="2">
        <v>10</v>
      </c>
      <c r="C19" s="43" t="s">
        <v>77</v>
      </c>
      <c r="D19" s="243">
        <v>0</v>
      </c>
      <c r="E19" s="243">
        <v>0</v>
      </c>
      <c r="F19" s="243">
        <v>0</v>
      </c>
      <c r="H19" s="134"/>
    </row>
    <row r="20" spans="2:8" ht="18" customHeight="1" x14ac:dyDescent="0.2">
      <c r="B20" s="2">
        <v>11</v>
      </c>
      <c r="C20" s="43" t="s">
        <v>78</v>
      </c>
      <c r="D20" s="243">
        <v>1.817113270589533E-3</v>
      </c>
      <c r="E20" s="243">
        <v>1.9328713330525164E-3</v>
      </c>
      <c r="F20" s="243">
        <v>2.0101861863746173E-3</v>
      </c>
      <c r="H20" s="134"/>
    </row>
    <row r="21" spans="2:8" ht="18" customHeight="1" x14ac:dyDescent="0.2">
      <c r="B21" s="2">
        <v>12</v>
      </c>
      <c r="C21" s="43" t="s">
        <v>79</v>
      </c>
      <c r="D21" s="243">
        <v>2.6021167113993173</v>
      </c>
      <c r="E21" s="243">
        <v>2.7390312467490903</v>
      </c>
      <c r="F21" s="243">
        <v>2.8485924966190539</v>
      </c>
      <c r="H21" s="134"/>
    </row>
    <row r="22" spans="2:8" ht="18" customHeight="1" x14ac:dyDescent="0.2">
      <c r="B22" s="2">
        <v>13</v>
      </c>
      <c r="C22" s="43" t="s">
        <v>80</v>
      </c>
      <c r="D22" s="243">
        <v>0</v>
      </c>
      <c r="E22" s="243">
        <v>0</v>
      </c>
      <c r="F22" s="243">
        <v>0</v>
      </c>
      <c r="H22" s="134"/>
    </row>
    <row r="23" spans="2:8" ht="18" customHeight="1" x14ac:dyDescent="0.2">
      <c r="B23" s="2">
        <v>14</v>
      </c>
      <c r="C23" s="43" t="s">
        <v>81</v>
      </c>
      <c r="D23" s="243">
        <v>0</v>
      </c>
      <c r="E23" s="243">
        <v>0</v>
      </c>
      <c r="F23" s="243">
        <v>0</v>
      </c>
      <c r="H23" s="134"/>
    </row>
    <row r="24" spans="2:8" ht="18" customHeight="1" x14ac:dyDescent="0.2">
      <c r="B24" s="2">
        <v>15</v>
      </c>
      <c r="C24" s="43" t="s">
        <v>82</v>
      </c>
      <c r="D24" s="243">
        <v>0</v>
      </c>
      <c r="E24" s="243">
        <v>0</v>
      </c>
      <c r="F24" s="243">
        <v>0</v>
      </c>
      <c r="H24" s="134"/>
    </row>
    <row r="25" spans="2:8" ht="18" customHeight="1" x14ac:dyDescent="0.2">
      <c r="B25" s="2">
        <v>16</v>
      </c>
      <c r="C25" s="43" t="s">
        <v>83</v>
      </c>
      <c r="D25" s="243">
        <v>0</v>
      </c>
      <c r="E25" s="243">
        <v>0</v>
      </c>
      <c r="F25" s="243">
        <v>0</v>
      </c>
      <c r="H25" s="134"/>
    </row>
    <row r="26" spans="2:8" ht="18" customHeight="1" x14ac:dyDescent="0.2">
      <c r="B26" s="2">
        <v>17</v>
      </c>
      <c r="C26" s="43" t="s">
        <v>84</v>
      </c>
      <c r="D26" s="124">
        <f>SUM(D10:D25)</f>
        <v>193.37633487747044</v>
      </c>
      <c r="E26" s="125">
        <f>SUM(E10:E25)</f>
        <v>202.51148766525762</v>
      </c>
      <c r="F26" s="125">
        <f>SUM(F10:F25)</f>
        <v>210.61194717186794</v>
      </c>
      <c r="H26" s="135"/>
    </row>
    <row r="27" spans="2:8" ht="18" customHeight="1" x14ac:dyDescent="0.2">
      <c r="B27" s="2">
        <v>18</v>
      </c>
      <c r="C27" s="43" t="s">
        <v>85</v>
      </c>
      <c r="D27" s="243">
        <v>0</v>
      </c>
      <c r="E27" s="243">
        <v>0</v>
      </c>
      <c r="F27" s="243">
        <v>0</v>
      </c>
    </row>
    <row r="28" spans="2:8" ht="18" customHeight="1" x14ac:dyDescent="0.2">
      <c r="B28" s="2">
        <f>+B27+0.1</f>
        <v>18.100000000000001</v>
      </c>
      <c r="C28" s="43" t="s">
        <v>86</v>
      </c>
      <c r="D28" s="243">
        <v>0</v>
      </c>
      <c r="E28" s="243">
        <v>0</v>
      </c>
      <c r="F28" s="243">
        <v>0</v>
      </c>
    </row>
    <row r="29" spans="2:8" ht="18" customHeight="1" x14ac:dyDescent="0.2">
      <c r="B29" s="2">
        <f>+B28+0.1</f>
        <v>18.200000000000003</v>
      </c>
      <c r="C29" s="43" t="s">
        <v>87</v>
      </c>
      <c r="D29" s="243">
        <v>13.534327667626476</v>
      </c>
      <c r="E29" s="243">
        <v>14.254678520393924</v>
      </c>
      <c r="F29" s="243">
        <v>14.824865661209682</v>
      </c>
    </row>
    <row r="30" spans="2:8" ht="18" customHeight="1" x14ac:dyDescent="0.2">
      <c r="B30" s="2">
        <f>+B29+0.1</f>
        <v>18.300000000000004</v>
      </c>
      <c r="C30" s="43" t="s">
        <v>88</v>
      </c>
      <c r="D30" s="243">
        <v>0</v>
      </c>
      <c r="E30" s="243">
        <v>0</v>
      </c>
      <c r="F30" s="243">
        <v>0</v>
      </c>
    </row>
    <row r="31" spans="2:8" ht="18" customHeight="1" x14ac:dyDescent="0.2">
      <c r="B31" s="2">
        <f>+B30+0.1</f>
        <v>18.400000000000006</v>
      </c>
      <c r="C31" s="43" t="s">
        <v>89</v>
      </c>
      <c r="D31" s="243">
        <v>32.147992327622717</v>
      </c>
      <c r="E31" s="243">
        <v>33.689408795846994</v>
      </c>
      <c r="F31" s="243">
        <v>35.036985147680873</v>
      </c>
    </row>
    <row r="32" spans="2:8" ht="29.25" customHeight="1" x14ac:dyDescent="0.2">
      <c r="B32" s="2">
        <v>19</v>
      </c>
      <c r="C32" s="47" t="s">
        <v>373</v>
      </c>
      <c r="D32" s="243">
        <v>0</v>
      </c>
      <c r="E32" s="243">
        <v>0</v>
      </c>
      <c r="F32" s="243">
        <v>0</v>
      </c>
    </row>
    <row r="33" spans="2:6" ht="18" customHeight="1" x14ac:dyDescent="0.2">
      <c r="B33" s="2">
        <v>20</v>
      </c>
      <c r="C33" s="43" t="s">
        <v>90</v>
      </c>
      <c r="D33" s="243">
        <v>0</v>
      </c>
      <c r="E33" s="243">
        <v>0</v>
      </c>
      <c r="F33" s="243">
        <v>0</v>
      </c>
    </row>
    <row r="34" spans="2:6" ht="18" customHeight="1" x14ac:dyDescent="0.25">
      <c r="B34" s="14">
        <v>21</v>
      </c>
      <c r="C34" s="44" t="s">
        <v>91</v>
      </c>
      <c r="D34" s="112">
        <f>SUM(D26:D33)</f>
        <v>239.05865487271964</v>
      </c>
      <c r="E34" s="112">
        <f>SUM(E26:E33)</f>
        <v>250.45557498149853</v>
      </c>
      <c r="F34" s="112">
        <f>SUM(F26:F33)</f>
        <v>260.47379798075849</v>
      </c>
    </row>
    <row r="35" spans="2:6" ht="18" customHeight="1" x14ac:dyDescent="0.25">
      <c r="B35" s="2">
        <v>22</v>
      </c>
      <c r="C35" s="43" t="s">
        <v>13</v>
      </c>
      <c r="D35" s="235"/>
      <c r="E35" s="236"/>
      <c r="F35" s="237"/>
    </row>
    <row r="36" spans="2:6" ht="18" customHeight="1" x14ac:dyDescent="0.2">
      <c r="B36" s="14">
        <v>23</v>
      </c>
      <c r="C36" s="19" t="s">
        <v>92</v>
      </c>
      <c r="D36" s="171">
        <f>ROUND(D34-D35,2)</f>
        <v>239.06</v>
      </c>
      <c r="E36" s="171">
        <f t="shared" ref="E36:F36" si="0">ROUND(E34-E35,2)</f>
        <v>250.46</v>
      </c>
      <c r="F36" s="171">
        <f t="shared" si="0"/>
        <v>260.47000000000003</v>
      </c>
    </row>
    <row r="37" spans="2:6" ht="27.75" customHeight="1" x14ac:dyDescent="0.2">
      <c r="B37" s="45"/>
      <c r="D37" s="136"/>
    </row>
    <row r="38" spans="2:6" x14ac:dyDescent="0.2">
      <c r="B38" s="46"/>
    </row>
  </sheetData>
  <mergeCells count="5">
    <mergeCell ref="B7:B9"/>
    <mergeCell ref="C7:C9"/>
    <mergeCell ref="B2:F2"/>
    <mergeCell ref="B3:F3"/>
    <mergeCell ref="B4:F4"/>
  </mergeCells>
  <pageMargins left="1" right="0.25" top="0.25" bottom="0.25" header="0.5" footer="0.5"/>
  <pageSetup paperSize="9" scale="94" orientation="landscape" r:id="rId1"/>
  <headerFooter alignWithMargins="0"/>
  <rowBreaks count="1" manualBreakCount="1">
    <brk id="36"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8"/>
  <sheetViews>
    <sheetView showGridLines="0" view="pageBreakPreview" topLeftCell="A12" zoomScale="96" zoomScaleSheetLayoutView="96" workbookViewId="0">
      <selection activeCell="D38" sqref="D38"/>
    </sheetView>
  </sheetViews>
  <sheetFormatPr defaultColWidth="9.28515625" defaultRowHeight="14.25" x14ac:dyDescent="0.2"/>
  <cols>
    <col min="1" max="1" width="2" style="13" customWidth="1"/>
    <col min="2" max="2" width="7" style="13" customWidth="1"/>
    <col min="3" max="3" width="50.28515625" style="13" customWidth="1"/>
    <col min="4" max="5" width="15.7109375" style="13" customWidth="1"/>
    <col min="6" max="6" width="16.140625" style="13" customWidth="1"/>
    <col min="7" max="16384" width="9.28515625" style="13"/>
  </cols>
  <sheetData>
    <row r="1" spans="2:6" ht="14.25" customHeight="1" x14ac:dyDescent="0.2">
      <c r="B1" s="311" t="s">
        <v>383</v>
      </c>
      <c r="C1" s="311"/>
      <c r="D1" s="311"/>
      <c r="E1" s="311"/>
      <c r="F1" s="311"/>
    </row>
    <row r="2" spans="2:6" ht="14.25" customHeight="1" x14ac:dyDescent="0.2">
      <c r="B2" s="311" t="s">
        <v>448</v>
      </c>
      <c r="C2" s="311"/>
      <c r="D2" s="311"/>
      <c r="E2" s="311"/>
      <c r="F2" s="311"/>
    </row>
    <row r="3" spans="2:6" s="4" customFormat="1" ht="15" x14ac:dyDescent="0.2">
      <c r="B3" s="311" t="s">
        <v>386</v>
      </c>
      <c r="C3" s="311"/>
      <c r="D3" s="311"/>
      <c r="E3" s="311"/>
      <c r="F3" s="311"/>
    </row>
    <row r="4" spans="2:6" ht="15" x14ac:dyDescent="0.2">
      <c r="F4" s="26" t="s">
        <v>4</v>
      </c>
    </row>
    <row r="5" spans="2:6" ht="12.75" customHeight="1" x14ac:dyDescent="0.2">
      <c r="B5" s="306" t="s">
        <v>186</v>
      </c>
      <c r="C5" s="304" t="s">
        <v>14</v>
      </c>
      <c r="D5" s="15" t="s">
        <v>384</v>
      </c>
      <c r="E5" s="15" t="s">
        <v>385</v>
      </c>
      <c r="F5" s="23" t="s">
        <v>445</v>
      </c>
    </row>
    <row r="6" spans="2:6" ht="15" x14ac:dyDescent="0.2">
      <c r="B6" s="306"/>
      <c r="C6" s="304"/>
      <c r="D6" s="15" t="s">
        <v>230</v>
      </c>
      <c r="E6" s="15" t="s">
        <v>229</v>
      </c>
      <c r="F6" s="15" t="s">
        <v>229</v>
      </c>
    </row>
    <row r="7" spans="2:6" ht="15" x14ac:dyDescent="0.2">
      <c r="B7" s="306"/>
      <c r="C7" s="304"/>
      <c r="D7" s="15" t="s">
        <v>12</v>
      </c>
      <c r="E7" s="15" t="s">
        <v>5</v>
      </c>
      <c r="F7" s="15" t="s">
        <v>8</v>
      </c>
    </row>
    <row r="8" spans="2:6" x14ac:dyDescent="0.2">
      <c r="B8" s="3">
        <v>1</v>
      </c>
      <c r="C8" s="53" t="s">
        <v>93</v>
      </c>
      <c r="D8" s="243">
        <v>2.1802519551854309</v>
      </c>
      <c r="E8" s="243">
        <v>2.3325601304098442</v>
      </c>
      <c r="F8" s="243">
        <v>2.4725137382344351</v>
      </c>
    </row>
    <row r="9" spans="2:6" x14ac:dyDescent="0.2">
      <c r="B9" s="3">
        <v>2</v>
      </c>
      <c r="C9" s="54" t="s">
        <v>94</v>
      </c>
      <c r="D9" s="243">
        <v>0</v>
      </c>
      <c r="E9" s="243">
        <v>0</v>
      </c>
      <c r="F9" s="243">
        <v>0</v>
      </c>
    </row>
    <row r="10" spans="2:6" x14ac:dyDescent="0.2">
      <c r="B10" s="3">
        <v>3</v>
      </c>
      <c r="C10" s="54" t="s">
        <v>95</v>
      </c>
      <c r="D10" s="243">
        <v>7.8317255035860983E-2</v>
      </c>
      <c r="E10" s="243">
        <v>8.3687300745239168E-2</v>
      </c>
      <c r="F10" s="243">
        <v>8.8708538789953523E-2</v>
      </c>
    </row>
    <row r="11" spans="2:6" x14ac:dyDescent="0.2">
      <c r="B11" s="3">
        <v>4</v>
      </c>
      <c r="C11" s="54" t="s">
        <v>96</v>
      </c>
      <c r="D11" s="243">
        <v>0.21084944519373922</v>
      </c>
      <c r="E11" s="243">
        <v>0.22541155520751907</v>
      </c>
      <c r="F11" s="243">
        <v>0.23893624851997022</v>
      </c>
    </row>
    <row r="12" spans="2:6" x14ac:dyDescent="0.2">
      <c r="B12" s="3">
        <v>5</v>
      </c>
      <c r="C12" s="54" t="s">
        <v>97</v>
      </c>
      <c r="D12" s="243">
        <v>1.5189551527223517E-2</v>
      </c>
      <c r="E12" s="243">
        <v>2.1056386072576604E-2</v>
      </c>
      <c r="F12" s="243">
        <v>2.23197692369312E-2</v>
      </c>
    </row>
    <row r="13" spans="2:6" x14ac:dyDescent="0.2">
      <c r="B13" s="3">
        <v>6</v>
      </c>
      <c r="C13" s="54" t="s">
        <v>98</v>
      </c>
      <c r="D13" s="243">
        <v>4.9749483345614402E-2</v>
      </c>
      <c r="E13" s="243">
        <v>5.328166933755836E-2</v>
      </c>
      <c r="F13" s="243">
        <v>5.6478569497811867E-2</v>
      </c>
    </row>
    <row r="14" spans="2:6" x14ac:dyDescent="0.2">
      <c r="B14" s="3">
        <v>7</v>
      </c>
      <c r="C14" s="54" t="s">
        <v>99</v>
      </c>
      <c r="D14" s="243">
        <v>0.94587148406988941</v>
      </c>
      <c r="E14" s="243">
        <v>0.91192757738868302</v>
      </c>
      <c r="F14" s="243">
        <v>0.96664323203200408</v>
      </c>
    </row>
    <row r="15" spans="2:6" x14ac:dyDescent="0.2">
      <c r="B15" s="3">
        <v>8</v>
      </c>
      <c r="C15" s="54" t="s">
        <v>100</v>
      </c>
      <c r="D15" s="243">
        <v>1.7087174330781916E-3</v>
      </c>
      <c r="E15" s="243">
        <v>1.8363335235074487E-3</v>
      </c>
      <c r="F15" s="243">
        <v>1.9465135349178958E-3</v>
      </c>
    </row>
    <row r="16" spans="2:6" x14ac:dyDescent="0.2">
      <c r="B16" s="3">
        <v>9</v>
      </c>
      <c r="C16" s="54" t="s">
        <v>101</v>
      </c>
      <c r="D16" s="243">
        <v>6.6826993626551801</v>
      </c>
      <c r="E16" s="243">
        <v>7.1887015449711429</v>
      </c>
      <c r="F16" s="243">
        <v>7.6200236376694122</v>
      </c>
    </row>
    <row r="17" spans="2:6" x14ac:dyDescent="0.2">
      <c r="B17" s="3">
        <v>10</v>
      </c>
      <c r="C17" s="54" t="s">
        <v>102</v>
      </c>
      <c r="D17" s="243">
        <v>0.28575327965138769</v>
      </c>
      <c r="E17" s="243">
        <v>0.30711400950408441</v>
      </c>
      <c r="F17" s="243">
        <v>0.32554085007432948</v>
      </c>
    </row>
    <row r="18" spans="2:6" x14ac:dyDescent="0.2">
      <c r="B18" s="3">
        <v>11</v>
      </c>
      <c r="C18" s="54" t="s">
        <v>103</v>
      </c>
      <c r="D18" s="243">
        <v>1.220833395745931E-3</v>
      </c>
      <c r="E18" s="243">
        <v>1.3034233471885188E-3</v>
      </c>
      <c r="F18" s="243">
        <v>1.3816287480198299E-3</v>
      </c>
    </row>
    <row r="19" spans="2:6" x14ac:dyDescent="0.2">
      <c r="B19" s="3">
        <v>12</v>
      </c>
      <c r="C19" s="54" t="s">
        <v>104</v>
      </c>
      <c r="D19" s="243">
        <v>0</v>
      </c>
      <c r="E19" s="243">
        <v>0</v>
      </c>
      <c r="F19" s="243">
        <v>0</v>
      </c>
    </row>
    <row r="20" spans="2:6" x14ac:dyDescent="0.2">
      <c r="B20" s="3">
        <v>13</v>
      </c>
      <c r="C20" s="54" t="s">
        <v>105</v>
      </c>
      <c r="D20" s="243">
        <v>1.8380039567798757E-2</v>
      </c>
      <c r="E20" s="243">
        <v>1.9729699108036656E-2</v>
      </c>
      <c r="F20" s="243">
        <v>2.0913481054518856E-2</v>
      </c>
    </row>
    <row r="21" spans="2:6" x14ac:dyDescent="0.2">
      <c r="B21" s="3">
        <v>14</v>
      </c>
      <c r="C21" s="54" t="s">
        <v>106</v>
      </c>
      <c r="D21" s="243">
        <v>8.50474097774543E-2</v>
      </c>
      <c r="E21" s="243">
        <v>9.1727198816960925E-2</v>
      </c>
      <c r="F21" s="243">
        <v>9.7230830745978589E-2</v>
      </c>
    </row>
    <row r="22" spans="2:6" x14ac:dyDescent="0.2">
      <c r="B22" s="3">
        <v>15</v>
      </c>
      <c r="C22" s="54" t="s">
        <v>107</v>
      </c>
      <c r="D22" s="243">
        <v>0</v>
      </c>
      <c r="E22" s="243">
        <v>0</v>
      </c>
      <c r="F22" s="243">
        <v>0</v>
      </c>
    </row>
    <row r="23" spans="2:6" x14ac:dyDescent="0.2">
      <c r="B23" s="3">
        <v>16</v>
      </c>
      <c r="C23" s="53" t="s">
        <v>108</v>
      </c>
      <c r="D23" s="243">
        <v>0</v>
      </c>
      <c r="E23" s="243">
        <v>0</v>
      </c>
      <c r="F23" s="243">
        <v>0</v>
      </c>
    </row>
    <row r="24" spans="2:6" x14ac:dyDescent="0.2">
      <c r="B24" s="3">
        <v>17</v>
      </c>
      <c r="C24" s="53" t="s">
        <v>109</v>
      </c>
      <c r="D24" s="243">
        <v>0</v>
      </c>
      <c r="E24" s="243">
        <v>0</v>
      </c>
      <c r="F24" s="243">
        <v>0</v>
      </c>
    </row>
    <row r="25" spans="2:6" x14ac:dyDescent="0.2">
      <c r="B25" s="3">
        <v>18</v>
      </c>
      <c r="C25" s="54" t="s">
        <v>110</v>
      </c>
      <c r="D25" s="243">
        <v>3.7645775939288931E-2</v>
      </c>
      <c r="E25" s="243">
        <v>4.0569259867212916E-2</v>
      </c>
      <c r="F25" s="243">
        <v>4.3003415459245693E-2</v>
      </c>
    </row>
    <row r="26" spans="2:6" x14ac:dyDescent="0.2">
      <c r="B26" s="3">
        <v>19</v>
      </c>
      <c r="C26" s="54" t="s">
        <v>111</v>
      </c>
      <c r="D26" s="243">
        <v>1.3539884145973793</v>
      </c>
      <c r="E26" s="243">
        <v>1.4324029266538754</v>
      </c>
      <c r="F26" s="243">
        <v>1.5183471022531079</v>
      </c>
    </row>
    <row r="27" spans="2:6" x14ac:dyDescent="0.2">
      <c r="B27" s="3">
        <v>20</v>
      </c>
      <c r="C27" s="54" t="s">
        <v>112</v>
      </c>
      <c r="D27" s="243">
        <v>0</v>
      </c>
      <c r="E27" s="243">
        <v>0</v>
      </c>
      <c r="F27" s="243">
        <v>0</v>
      </c>
    </row>
    <row r="28" spans="2:6" x14ac:dyDescent="0.2">
      <c r="B28" s="3">
        <v>21</v>
      </c>
      <c r="C28" s="54" t="s">
        <v>113</v>
      </c>
      <c r="D28" s="243">
        <v>0</v>
      </c>
      <c r="E28" s="243">
        <v>0</v>
      </c>
      <c r="F28" s="243">
        <v>0</v>
      </c>
    </row>
    <row r="29" spans="2:6" x14ac:dyDescent="0.2">
      <c r="B29" s="3">
        <v>22</v>
      </c>
      <c r="C29" s="54" t="s">
        <v>114</v>
      </c>
      <c r="D29" s="243">
        <v>1.5078490785388846E-2</v>
      </c>
      <c r="E29" s="243">
        <v>1.6320508347945812E-2</v>
      </c>
      <c r="F29" s="243">
        <v>1.7299738848822563E-2</v>
      </c>
    </row>
    <row r="30" spans="2:6" x14ac:dyDescent="0.2">
      <c r="B30" s="3">
        <v>23</v>
      </c>
      <c r="C30" s="54" t="s">
        <v>115</v>
      </c>
      <c r="D30" s="243">
        <v>0</v>
      </c>
      <c r="E30" s="243">
        <v>0</v>
      </c>
      <c r="F30" s="243">
        <v>0</v>
      </c>
    </row>
    <row r="31" spans="2:6" x14ac:dyDescent="0.2">
      <c r="B31" s="3">
        <v>24</v>
      </c>
      <c r="C31" s="54" t="s">
        <v>116</v>
      </c>
      <c r="D31" s="243">
        <v>4.168199617190535E-2</v>
      </c>
      <c r="E31" s="243">
        <v>4.4832373148891512E-2</v>
      </c>
      <c r="F31" s="243">
        <v>4.7522315537825002E-2</v>
      </c>
    </row>
    <row r="32" spans="2:6" x14ac:dyDescent="0.2">
      <c r="B32" s="3">
        <v>25</v>
      </c>
      <c r="C32" s="54" t="s">
        <v>117</v>
      </c>
      <c r="D32" s="243">
        <v>0</v>
      </c>
      <c r="E32" s="243">
        <v>0</v>
      </c>
      <c r="F32" s="243">
        <v>0</v>
      </c>
    </row>
    <row r="33" spans="2:6" x14ac:dyDescent="0.2">
      <c r="B33" s="3">
        <v>26</v>
      </c>
      <c r="C33" s="54" t="s">
        <v>118</v>
      </c>
      <c r="D33" s="243">
        <v>0</v>
      </c>
      <c r="E33" s="243">
        <v>0</v>
      </c>
      <c r="F33" s="243">
        <v>0</v>
      </c>
    </row>
    <row r="34" spans="2:6" x14ac:dyDescent="0.2">
      <c r="B34" s="3">
        <v>27</v>
      </c>
      <c r="C34" s="54" t="s">
        <v>119</v>
      </c>
      <c r="D34" s="243">
        <v>1.9531638104535769E-2</v>
      </c>
      <c r="E34" s="243">
        <v>2.0802030791728394E-2</v>
      </c>
      <c r="F34" s="243">
        <v>2.2050152639232098E-2</v>
      </c>
    </row>
    <row r="35" spans="2:6" x14ac:dyDescent="0.2">
      <c r="B35" s="3">
        <v>28</v>
      </c>
      <c r="C35" s="54" t="s">
        <v>90</v>
      </c>
      <c r="D35" s="243">
        <v>1.3058677218042807</v>
      </c>
      <c r="E35" s="243">
        <v>1.44</v>
      </c>
      <c r="F35" s="243">
        <v>1.5323412261928404</v>
      </c>
    </row>
    <row r="36" spans="2:6" ht="15" x14ac:dyDescent="0.25">
      <c r="B36" s="3">
        <v>29</v>
      </c>
      <c r="C36" s="55" t="s">
        <v>120</v>
      </c>
      <c r="D36" s="103">
        <f>SUM(D8:D35)</f>
        <v>13.328832854241181</v>
      </c>
      <c r="E36" s="103">
        <f>SUM(E8:E35)</f>
        <v>14.233263927241996</v>
      </c>
      <c r="F36" s="103">
        <f>SUM(F8:F35)</f>
        <v>15.093200989069357</v>
      </c>
    </row>
    <row r="37" spans="2:6" ht="15" x14ac:dyDescent="0.25">
      <c r="B37" s="3">
        <v>30</v>
      </c>
      <c r="C37" s="43" t="s">
        <v>13</v>
      </c>
      <c r="D37" s="239"/>
      <c r="E37" s="262"/>
      <c r="F37" s="238"/>
    </row>
    <row r="38" spans="2:6" ht="15" x14ac:dyDescent="0.2">
      <c r="B38" s="3">
        <v>31</v>
      </c>
      <c r="C38" s="19" t="s">
        <v>121</v>
      </c>
      <c r="D38" s="103">
        <f>ROUND(D36-D37,2)</f>
        <v>13.33</v>
      </c>
      <c r="E38" s="103">
        <f t="shared" ref="E38:F38" si="0">ROUND(E36-E37,2)</f>
        <v>14.23</v>
      </c>
      <c r="F38" s="103">
        <f t="shared" si="0"/>
        <v>15.09</v>
      </c>
    </row>
  </sheetData>
  <mergeCells count="5">
    <mergeCell ref="B5:B7"/>
    <mergeCell ref="C5:C7"/>
    <mergeCell ref="B3:F3"/>
    <mergeCell ref="B2:F2"/>
    <mergeCell ref="B1:F1"/>
  </mergeCells>
  <pageMargins left="0.75" right="0.25" top="0.25" bottom="0.25" header="0.5" footer="0.5"/>
  <pageSetup paperSize="9" fitToWidth="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2"/>
  <sheetViews>
    <sheetView showGridLines="0" view="pageBreakPreview" topLeftCell="B1" zoomScale="90" zoomScaleNormal="98" zoomScaleSheetLayoutView="90" workbookViewId="0">
      <selection activeCell="C29" sqref="C29"/>
    </sheetView>
  </sheetViews>
  <sheetFormatPr defaultColWidth="9.28515625" defaultRowHeight="14.25" x14ac:dyDescent="0.2"/>
  <cols>
    <col min="1" max="1" width="4.5703125" style="13" customWidth="1"/>
    <col min="2" max="2" width="8.7109375" style="56" customWidth="1"/>
    <col min="3" max="3" width="45.7109375" style="13" customWidth="1"/>
    <col min="4" max="5" width="15.7109375" style="13" customWidth="1"/>
    <col min="6" max="6" width="12.28515625" style="13" customWidth="1"/>
    <col min="7" max="16384" width="9.28515625" style="13"/>
  </cols>
  <sheetData>
    <row r="2" spans="2:6" ht="14.25" customHeight="1" x14ac:dyDescent="0.2">
      <c r="B2" s="311" t="s">
        <v>383</v>
      </c>
      <c r="C2" s="311"/>
      <c r="D2" s="311"/>
      <c r="E2" s="311"/>
      <c r="F2" s="311"/>
    </row>
    <row r="3" spans="2:6" ht="14.25" customHeight="1" x14ac:dyDescent="0.2">
      <c r="B3" s="311" t="s">
        <v>448</v>
      </c>
      <c r="C3" s="311"/>
      <c r="D3" s="311"/>
      <c r="E3" s="311"/>
      <c r="F3" s="311"/>
    </row>
    <row r="4" spans="2:6" s="4" customFormat="1" ht="14.25" customHeight="1" x14ac:dyDescent="0.2">
      <c r="B4" s="311" t="s">
        <v>251</v>
      </c>
      <c r="C4" s="311"/>
      <c r="D4" s="311"/>
      <c r="E4" s="311"/>
      <c r="F4" s="311"/>
    </row>
    <row r="6" spans="2:6" ht="15" x14ac:dyDescent="0.2">
      <c r="F6" s="26" t="s">
        <v>4</v>
      </c>
    </row>
    <row r="7" spans="2:6" ht="12.75" customHeight="1" x14ac:dyDescent="0.2">
      <c r="B7" s="306" t="s">
        <v>186</v>
      </c>
      <c r="C7" s="304" t="s">
        <v>14</v>
      </c>
      <c r="D7" s="15" t="s">
        <v>384</v>
      </c>
      <c r="E7" s="15" t="s">
        <v>385</v>
      </c>
      <c r="F7" s="23" t="s">
        <v>445</v>
      </c>
    </row>
    <row r="8" spans="2:6" ht="15" x14ac:dyDescent="0.2">
      <c r="B8" s="306"/>
      <c r="C8" s="304"/>
      <c r="D8" s="15" t="s">
        <v>230</v>
      </c>
      <c r="E8" s="15" t="s">
        <v>229</v>
      </c>
      <c r="F8" s="15" t="s">
        <v>229</v>
      </c>
    </row>
    <row r="9" spans="2:6" ht="15" x14ac:dyDescent="0.2">
      <c r="B9" s="306"/>
      <c r="C9" s="304"/>
      <c r="D9" s="15" t="s">
        <v>12</v>
      </c>
      <c r="E9" s="15" t="s">
        <v>5</v>
      </c>
      <c r="F9" s="15" t="s">
        <v>8</v>
      </c>
    </row>
    <row r="10" spans="2:6" x14ac:dyDescent="0.2">
      <c r="B10" s="2">
        <v>1</v>
      </c>
      <c r="C10" s="54" t="s">
        <v>122</v>
      </c>
      <c r="D10" s="243">
        <v>28.993761483035836</v>
      </c>
      <c r="E10" s="243">
        <v>30.78095536954898</v>
      </c>
      <c r="F10" s="243">
        <v>32.627812691721921</v>
      </c>
    </row>
    <row r="11" spans="2:6" x14ac:dyDescent="0.2">
      <c r="B11" s="2">
        <v>2</v>
      </c>
      <c r="C11" s="54" t="s">
        <v>123</v>
      </c>
      <c r="D11" s="243">
        <v>2.9939847475597849</v>
      </c>
      <c r="E11" s="243">
        <v>3.1663355372751676</v>
      </c>
      <c r="F11" s="243">
        <v>3.3563156695116776</v>
      </c>
    </row>
    <row r="12" spans="2:6" x14ac:dyDescent="0.2">
      <c r="B12" s="2">
        <v>3</v>
      </c>
      <c r="C12" s="54" t="s">
        <v>124</v>
      </c>
      <c r="D12" s="243">
        <v>0</v>
      </c>
      <c r="E12" s="243">
        <v>0</v>
      </c>
      <c r="F12" s="243">
        <v>0</v>
      </c>
    </row>
    <row r="13" spans="2:6" x14ac:dyDescent="0.2">
      <c r="B13" s="2">
        <v>4</v>
      </c>
      <c r="C13" s="54" t="s">
        <v>125</v>
      </c>
      <c r="D13" s="243">
        <v>5.43685E-3</v>
      </c>
      <c r="E13" s="243">
        <v>5.7856570130874509E-3</v>
      </c>
      <c r="F13" s="243">
        <v>6.1327964338726984E-3</v>
      </c>
    </row>
    <row r="14" spans="2:6" x14ac:dyDescent="0.2">
      <c r="B14" s="2">
        <v>5</v>
      </c>
      <c r="C14" s="54" t="s">
        <v>126</v>
      </c>
      <c r="D14" s="243">
        <v>0.9820749091570814</v>
      </c>
      <c r="E14" s="243">
        <v>1.0375830539096496</v>
      </c>
      <c r="F14" s="243">
        <v>1.0998380371442287</v>
      </c>
    </row>
    <row r="15" spans="2:6" x14ac:dyDescent="0.2">
      <c r="B15" s="2">
        <v>6</v>
      </c>
      <c r="C15" s="54" t="s">
        <v>127</v>
      </c>
      <c r="D15" s="243">
        <v>1.2403644884537416E-2</v>
      </c>
      <c r="E15" s="243">
        <v>1.3162278952046112E-2</v>
      </c>
      <c r="F15" s="243">
        <v>1.3952015689168878E-2</v>
      </c>
    </row>
    <row r="16" spans="2:6" x14ac:dyDescent="0.2">
      <c r="B16" s="2">
        <v>7</v>
      </c>
      <c r="C16" s="54" t="s">
        <v>128</v>
      </c>
      <c r="D16" s="243">
        <v>0</v>
      </c>
      <c r="E16" s="243">
        <v>0</v>
      </c>
      <c r="F16" s="243">
        <v>0</v>
      </c>
    </row>
    <row r="17" spans="2:6" x14ac:dyDescent="0.2">
      <c r="B17" s="2">
        <v>8</v>
      </c>
      <c r="C17" s="54" t="s">
        <v>129</v>
      </c>
      <c r="D17" s="243">
        <v>0.26862321697740471</v>
      </c>
      <c r="E17" s="243">
        <v>0.28257879382074857</v>
      </c>
      <c r="F17" s="243">
        <v>0.31</v>
      </c>
    </row>
    <row r="18" spans="2:6" ht="15" x14ac:dyDescent="0.25">
      <c r="B18" s="2">
        <v>9</v>
      </c>
      <c r="C18" s="55" t="s">
        <v>130</v>
      </c>
      <c r="D18" s="103">
        <f>ROUND(SUM(D10:D17),2)</f>
        <v>33.26</v>
      </c>
      <c r="E18" s="103">
        <f t="shared" ref="E18:F18" si="0">ROUND(SUM(E10:E17),2)</f>
        <v>35.29</v>
      </c>
      <c r="F18" s="103">
        <f t="shared" si="0"/>
        <v>37.409999999999997</v>
      </c>
    </row>
    <row r="19" spans="2:6" ht="15" x14ac:dyDescent="0.25">
      <c r="B19" s="2"/>
      <c r="C19" s="53"/>
      <c r="D19" s="240"/>
      <c r="E19" s="241"/>
      <c r="F19" s="242"/>
    </row>
    <row r="20" spans="2:6" ht="15" x14ac:dyDescent="0.2">
      <c r="B20" s="2">
        <v>10</v>
      </c>
      <c r="C20" s="57" t="s">
        <v>131</v>
      </c>
      <c r="D20" s="103">
        <f>'F4'!F18</f>
        <v>2473.23</v>
      </c>
      <c r="E20" s="103">
        <f>'F4'!F31</f>
        <v>2476.0300000000002</v>
      </c>
      <c r="F20" s="103">
        <f>'F4'!F44</f>
        <v>2476.21</v>
      </c>
    </row>
    <row r="21" spans="2:6" ht="28.5" x14ac:dyDescent="0.2">
      <c r="B21" s="2">
        <v>11</v>
      </c>
      <c r="C21" s="57" t="s">
        <v>132</v>
      </c>
      <c r="D21" s="111">
        <f>IFERROR(D18/D20,0)</f>
        <v>1.3448001196815499E-2</v>
      </c>
      <c r="E21" s="111">
        <f>IFERROR(E18/E20,0)</f>
        <v>1.4252654450874988E-2</v>
      </c>
      <c r="F21" s="111">
        <f>IFERROR(F18/F20,0)</f>
        <v>1.5107765496464353E-2</v>
      </c>
    </row>
    <row r="22" spans="2:6" x14ac:dyDescent="0.2">
      <c r="B22" s="2"/>
      <c r="C22" s="53"/>
      <c r="D22" s="3"/>
      <c r="E22" s="3"/>
      <c r="F22" s="3"/>
    </row>
  </sheetData>
  <mergeCells count="5">
    <mergeCell ref="B7:B9"/>
    <mergeCell ref="C7:C9"/>
    <mergeCell ref="B4:F4"/>
    <mergeCell ref="B3:F3"/>
    <mergeCell ref="B2:F2"/>
  </mergeCells>
  <pageMargins left="1.25" right="0.75" top="1" bottom="1" header="0.5" footer="0.5"/>
  <pageSetup paperSize="9" scale="11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6"/>
  <sheetViews>
    <sheetView view="pageBreakPreview" zoomScale="90" zoomScaleNormal="118" zoomScaleSheetLayoutView="90" workbookViewId="0">
      <selection activeCell="M12" sqref="M12"/>
    </sheetView>
  </sheetViews>
  <sheetFormatPr defaultColWidth="9.28515625" defaultRowHeight="14.25" x14ac:dyDescent="0.2"/>
  <cols>
    <col min="1" max="1" width="4.28515625" style="4" customWidth="1"/>
    <col min="2" max="2" width="6.28515625" style="4" customWidth="1"/>
    <col min="3" max="3" width="34.5703125" style="4" customWidth="1"/>
    <col min="4" max="4" width="13.7109375" style="4" bestFit="1" customWidth="1"/>
    <col min="5" max="5" width="12.5703125" style="4" bestFit="1" customWidth="1"/>
    <col min="6" max="6" width="13.42578125" style="4" bestFit="1" customWidth="1"/>
    <col min="7" max="7" width="13.7109375" style="4" bestFit="1" customWidth="1"/>
    <col min="8" max="8" width="15.140625" style="4" customWidth="1"/>
    <col min="9" max="9" width="11.7109375" style="4" bestFit="1" customWidth="1"/>
    <col min="10" max="10" width="12.28515625" style="4" customWidth="1"/>
    <col min="11" max="16384" width="9.28515625" style="4"/>
  </cols>
  <sheetData>
    <row r="1" spans="2:10" ht="15" x14ac:dyDescent="0.25">
      <c r="B1" s="58"/>
    </row>
    <row r="2" spans="2:10" ht="14.25" customHeight="1" x14ac:dyDescent="0.2">
      <c r="B2" s="311" t="s">
        <v>383</v>
      </c>
      <c r="C2" s="311"/>
      <c r="D2" s="311"/>
      <c r="E2" s="311"/>
      <c r="F2" s="311"/>
      <c r="G2" s="311"/>
      <c r="H2" s="311"/>
      <c r="I2" s="311"/>
      <c r="J2" s="311"/>
    </row>
    <row r="3" spans="2:10" ht="14.25" customHeight="1" x14ac:dyDescent="0.2">
      <c r="B3" s="311" t="s">
        <v>448</v>
      </c>
      <c r="C3" s="311"/>
      <c r="D3" s="311"/>
      <c r="E3" s="311"/>
      <c r="F3" s="311"/>
      <c r="G3" s="311"/>
      <c r="H3" s="311"/>
      <c r="I3" s="311"/>
      <c r="J3" s="311"/>
    </row>
    <row r="4" spans="2:10" ht="14.25" customHeight="1" x14ac:dyDescent="0.2">
      <c r="B4" s="311" t="s">
        <v>252</v>
      </c>
      <c r="C4" s="311"/>
      <c r="D4" s="311"/>
      <c r="E4" s="311"/>
      <c r="F4" s="311"/>
      <c r="G4" s="311"/>
      <c r="H4" s="311"/>
      <c r="I4" s="311"/>
      <c r="J4" s="311"/>
    </row>
    <row r="5" spans="2:10" ht="15" x14ac:dyDescent="0.25">
      <c r="B5" s="36"/>
      <c r="C5" s="59"/>
      <c r="D5" s="59"/>
      <c r="E5" s="59"/>
      <c r="F5" s="59"/>
      <c r="G5" s="59"/>
      <c r="H5" s="59"/>
    </row>
    <row r="6" spans="2:10" ht="15" x14ac:dyDescent="0.2">
      <c r="J6" s="26" t="s">
        <v>4</v>
      </c>
    </row>
    <row r="7" spans="2:10" s="13" customFormat="1" ht="15" customHeight="1" x14ac:dyDescent="0.2">
      <c r="B7" s="301" t="s">
        <v>186</v>
      </c>
      <c r="C7" s="304" t="s">
        <v>14</v>
      </c>
      <c r="D7" s="308" t="s">
        <v>384</v>
      </c>
      <c r="E7" s="309"/>
      <c r="F7" s="310"/>
      <c r="G7" s="308" t="s">
        <v>385</v>
      </c>
      <c r="H7" s="310"/>
      <c r="I7" s="308" t="s">
        <v>445</v>
      </c>
      <c r="J7" s="310"/>
    </row>
    <row r="8" spans="2:10" s="13" customFormat="1" ht="45" x14ac:dyDescent="0.2">
      <c r="B8" s="302"/>
      <c r="C8" s="304"/>
      <c r="D8" s="15" t="s">
        <v>350</v>
      </c>
      <c r="E8" s="15" t="s">
        <v>230</v>
      </c>
      <c r="F8" s="15" t="s">
        <v>199</v>
      </c>
      <c r="G8" s="15" t="s">
        <v>350</v>
      </c>
      <c r="H8" s="15" t="s">
        <v>229</v>
      </c>
      <c r="I8" s="15" t="s">
        <v>350</v>
      </c>
      <c r="J8" s="15" t="s">
        <v>229</v>
      </c>
    </row>
    <row r="9" spans="2:10" s="13" customFormat="1" ht="15" x14ac:dyDescent="0.2">
      <c r="B9" s="303"/>
      <c r="C9" s="305"/>
      <c r="D9" s="15" t="s">
        <v>10</v>
      </c>
      <c r="E9" s="15" t="s">
        <v>12</v>
      </c>
      <c r="F9" s="15" t="s">
        <v>221</v>
      </c>
      <c r="G9" s="15" t="s">
        <v>10</v>
      </c>
      <c r="H9" s="15" t="s">
        <v>5</v>
      </c>
      <c r="I9" s="15" t="s">
        <v>10</v>
      </c>
      <c r="J9" s="15" t="s">
        <v>8</v>
      </c>
    </row>
    <row r="10" spans="2:10" s="5" customFormat="1" x14ac:dyDescent="0.2">
      <c r="B10" s="62">
        <v>1</v>
      </c>
      <c r="C10" s="27" t="s">
        <v>234</v>
      </c>
      <c r="D10" s="2"/>
      <c r="E10" s="27"/>
      <c r="F10" s="27"/>
      <c r="G10" s="102"/>
      <c r="H10" s="102">
        <f>E13</f>
        <v>0</v>
      </c>
      <c r="I10" s="102"/>
      <c r="J10" s="102">
        <f>H13</f>
        <v>0</v>
      </c>
    </row>
    <row r="11" spans="2:10" s="5" customFormat="1" x14ac:dyDescent="0.2">
      <c r="B11" s="20">
        <v>2</v>
      </c>
      <c r="C11" s="27" t="s">
        <v>254</v>
      </c>
      <c r="D11" s="2"/>
      <c r="E11" s="99">
        <v>2.8</v>
      </c>
      <c r="F11" s="99"/>
      <c r="G11" s="21"/>
      <c r="H11" s="102">
        <v>0.18</v>
      </c>
      <c r="I11" s="102"/>
      <c r="J11" s="102">
        <v>27.08</v>
      </c>
    </row>
    <row r="12" spans="2:10" s="5" customFormat="1" ht="15" x14ac:dyDescent="0.2">
      <c r="B12" s="20">
        <v>3</v>
      </c>
      <c r="C12" s="29" t="s">
        <v>215</v>
      </c>
      <c r="D12" s="109"/>
      <c r="E12" s="114">
        <v>2.8</v>
      </c>
      <c r="F12" s="114"/>
      <c r="G12" s="109"/>
      <c r="H12" s="101">
        <v>0.18</v>
      </c>
      <c r="I12" s="101"/>
      <c r="J12" s="101">
        <v>27.08</v>
      </c>
    </row>
    <row r="13" spans="2:10" s="5" customFormat="1" ht="15" x14ac:dyDescent="0.2">
      <c r="B13" s="20">
        <v>4</v>
      </c>
      <c r="C13" s="27" t="s">
        <v>235</v>
      </c>
      <c r="D13" s="110">
        <f>D10+D11-D12</f>
        <v>0</v>
      </c>
      <c r="E13" s="110">
        <f t="shared" ref="E13:J13" si="0">E10+E11-E12</f>
        <v>0</v>
      </c>
      <c r="F13" s="110">
        <f t="shared" si="0"/>
        <v>0</v>
      </c>
      <c r="G13" s="110">
        <f t="shared" si="0"/>
        <v>0</v>
      </c>
      <c r="H13" s="110">
        <f>H10+H11-H12</f>
        <v>0</v>
      </c>
      <c r="I13" s="110">
        <f>I10+I11-I12</f>
        <v>0</v>
      </c>
      <c r="J13" s="110">
        <f t="shared" si="0"/>
        <v>0</v>
      </c>
    </row>
    <row r="14" spans="2:10" s="32" customFormat="1" ht="15" x14ac:dyDescent="0.2">
      <c r="B14" s="63"/>
      <c r="C14" s="50"/>
      <c r="D14" s="60"/>
      <c r="E14" s="60"/>
      <c r="F14" s="60"/>
      <c r="G14" s="61"/>
      <c r="H14" s="24"/>
    </row>
    <row r="16" spans="2:10" x14ac:dyDescent="0.2">
      <c r="B16" s="64"/>
    </row>
  </sheetData>
  <mergeCells count="8">
    <mergeCell ref="B3:J3"/>
    <mergeCell ref="B4:J4"/>
    <mergeCell ref="B2:J2"/>
    <mergeCell ref="I7:J7"/>
    <mergeCell ref="B7:B9"/>
    <mergeCell ref="C7:C9"/>
    <mergeCell ref="D7:F7"/>
    <mergeCell ref="G7:H7"/>
  </mergeCells>
  <pageMargins left="0.27" right="0.25" top="1" bottom="1" header="0.25" footer="0.2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1"/>
  <sheetViews>
    <sheetView workbookViewId="0">
      <selection sqref="A1:XFD1048576"/>
    </sheetView>
  </sheetViews>
  <sheetFormatPr defaultRowHeight="14.25" x14ac:dyDescent="0.2"/>
  <cols>
    <col min="1" max="1" width="4.140625" style="5" customWidth="1"/>
    <col min="2" max="2" width="6.28515625" style="5" customWidth="1"/>
    <col min="3" max="3" width="16.5703125" style="5" customWidth="1"/>
    <col min="4" max="4" width="25" style="5" customWidth="1"/>
    <col min="5" max="5" width="42.85546875" style="5" customWidth="1"/>
    <col min="6" max="6" width="22" style="5" customWidth="1"/>
    <col min="7" max="7" width="23.5703125" style="5" customWidth="1"/>
    <col min="8" max="8" width="21.7109375" style="5" customWidth="1"/>
    <col min="9" max="9" width="32" style="5" customWidth="1"/>
    <col min="10" max="10" width="62.28515625" style="5" customWidth="1"/>
    <col min="11" max="11" width="31" style="5" customWidth="1"/>
    <col min="12" max="12" width="98.5703125" style="5" customWidth="1"/>
    <col min="13" max="13" width="13.140625" style="5" bestFit="1" customWidth="1"/>
    <col min="14" max="14" width="12.5703125" style="5" customWidth="1"/>
    <col min="15" max="15" width="11.85546875" style="5" bestFit="1" customWidth="1"/>
    <col min="16" max="16" width="13.85546875" style="5" bestFit="1" customWidth="1"/>
    <col min="17" max="21" width="11.85546875" style="5" bestFit="1" customWidth="1"/>
    <col min="22" max="22" width="11.7109375" style="5" bestFit="1" customWidth="1"/>
    <col min="23" max="16384" width="9.140625" style="5"/>
  </cols>
  <sheetData>
    <row r="1" spans="2:16" ht="15" x14ac:dyDescent="0.2">
      <c r="B1" s="292"/>
    </row>
    <row r="2" spans="2:16" ht="15" x14ac:dyDescent="0.2">
      <c r="B2" s="354" t="s">
        <v>383</v>
      </c>
      <c r="C2" s="354"/>
      <c r="D2" s="354"/>
      <c r="E2" s="354"/>
      <c r="F2" s="354"/>
      <c r="G2" s="354"/>
      <c r="H2" s="354"/>
      <c r="I2" s="354"/>
      <c r="J2" s="354" t="s">
        <v>383</v>
      </c>
      <c r="K2" s="354"/>
      <c r="L2" s="354"/>
    </row>
    <row r="3" spans="2:16" ht="15" x14ac:dyDescent="0.2">
      <c r="B3" s="354" t="s">
        <v>473</v>
      </c>
      <c r="C3" s="354"/>
      <c r="D3" s="354"/>
      <c r="E3" s="354"/>
      <c r="F3" s="354"/>
      <c r="G3" s="354"/>
      <c r="H3" s="354"/>
      <c r="I3" s="354"/>
      <c r="J3" s="354" t="s">
        <v>473</v>
      </c>
      <c r="K3" s="354"/>
      <c r="L3" s="354"/>
    </row>
    <row r="4" spans="2:16" ht="15" x14ac:dyDescent="0.2">
      <c r="B4" s="311" t="s">
        <v>474</v>
      </c>
      <c r="C4" s="311"/>
      <c r="D4" s="311"/>
      <c r="E4" s="311"/>
      <c r="F4" s="311"/>
      <c r="G4" s="311"/>
      <c r="H4" s="311"/>
      <c r="I4" s="311"/>
      <c r="J4" s="311" t="s">
        <v>474</v>
      </c>
      <c r="K4" s="311"/>
      <c r="L4" s="311"/>
    </row>
    <row r="5" spans="2:16" ht="15" x14ac:dyDescent="0.2">
      <c r="K5" s="291"/>
    </row>
    <row r="6" spans="2:16" ht="75" x14ac:dyDescent="0.2">
      <c r="B6" s="293" t="s">
        <v>186</v>
      </c>
      <c r="C6" s="355" t="s">
        <v>475</v>
      </c>
      <c r="D6" s="166" t="s">
        <v>476</v>
      </c>
      <c r="E6" s="355" t="s">
        <v>477</v>
      </c>
      <c r="F6" s="166" t="s">
        <v>478</v>
      </c>
      <c r="G6" s="166" t="s">
        <v>479</v>
      </c>
      <c r="H6" s="166" t="s">
        <v>480</v>
      </c>
      <c r="I6" s="166" t="s">
        <v>481</v>
      </c>
      <c r="J6" s="355" t="s">
        <v>482</v>
      </c>
      <c r="K6" s="166" t="s">
        <v>483</v>
      </c>
      <c r="L6" s="166" t="s">
        <v>484</v>
      </c>
      <c r="M6" s="25"/>
      <c r="N6" s="25"/>
      <c r="O6" s="25"/>
      <c r="P6" s="25"/>
    </row>
    <row r="7" spans="2:16" ht="15" x14ac:dyDescent="0.2">
      <c r="B7" s="165"/>
      <c r="C7" s="356" t="s">
        <v>485</v>
      </c>
      <c r="D7" s="215"/>
      <c r="E7" s="215"/>
      <c r="F7" s="215"/>
      <c r="G7" s="215"/>
      <c r="H7" s="215"/>
      <c r="I7" s="215"/>
      <c r="J7" s="215"/>
      <c r="K7" s="215"/>
      <c r="L7" s="215"/>
    </row>
    <row r="8" spans="2:16" ht="30" x14ac:dyDescent="0.2">
      <c r="B8" s="355">
        <v>1</v>
      </c>
      <c r="C8" s="166" t="s">
        <v>485</v>
      </c>
      <c r="D8" s="215" t="s">
        <v>486</v>
      </c>
      <c r="E8" s="357" t="s">
        <v>487</v>
      </c>
      <c r="F8" s="358">
        <v>2.509506</v>
      </c>
      <c r="G8" s="215"/>
      <c r="H8" s="145">
        <f>F8</f>
        <v>2.509506</v>
      </c>
      <c r="I8" s="146" t="s">
        <v>488</v>
      </c>
      <c r="J8" s="215"/>
      <c r="K8" s="357" t="s">
        <v>489</v>
      </c>
      <c r="L8" s="211" t="s">
        <v>490</v>
      </c>
    </row>
    <row r="9" spans="2:16" ht="15" x14ac:dyDescent="0.2">
      <c r="B9" s="355">
        <v>2</v>
      </c>
      <c r="C9" s="166" t="s">
        <v>485</v>
      </c>
      <c r="D9" s="215" t="s">
        <v>491</v>
      </c>
      <c r="E9" s="359" t="s">
        <v>492</v>
      </c>
      <c r="F9" s="358">
        <v>0.28948040000000003</v>
      </c>
      <c r="G9" s="215"/>
      <c r="H9" s="145">
        <f>F9</f>
        <v>0.28948040000000003</v>
      </c>
      <c r="I9" s="215"/>
      <c r="J9" s="215"/>
      <c r="K9" s="357" t="s">
        <v>489</v>
      </c>
      <c r="L9" s="211" t="s">
        <v>493</v>
      </c>
    </row>
    <row r="10" spans="2:16" ht="15" x14ac:dyDescent="0.2">
      <c r="B10" s="165"/>
      <c r="C10" s="360" t="s">
        <v>134</v>
      </c>
      <c r="D10" s="215"/>
      <c r="E10" s="361"/>
      <c r="F10" s="145">
        <f>SUM(F8:F9)</f>
        <v>2.7989864</v>
      </c>
      <c r="G10" s="215"/>
      <c r="H10" s="145">
        <f>SUM(H8:H9)</f>
        <v>2.7989864</v>
      </c>
      <c r="I10" s="215"/>
      <c r="J10" s="215"/>
      <c r="K10" s="215"/>
      <c r="L10" s="215"/>
    </row>
    <row r="11" spans="2:16" ht="15" x14ac:dyDescent="0.2">
      <c r="B11" s="165"/>
      <c r="C11" s="356" t="s">
        <v>494</v>
      </c>
      <c r="D11" s="215"/>
      <c r="E11" s="361"/>
      <c r="F11" s="215"/>
      <c r="G11" s="215"/>
      <c r="H11" s="215"/>
      <c r="I11" s="215"/>
      <c r="J11" s="215"/>
      <c r="K11" s="215"/>
      <c r="L11" s="215"/>
    </row>
    <row r="12" spans="2:16" ht="90" x14ac:dyDescent="0.2">
      <c r="B12" s="355">
        <v>1</v>
      </c>
      <c r="C12" s="166" t="s">
        <v>494</v>
      </c>
      <c r="D12" s="362"/>
      <c r="E12" s="357" t="s">
        <v>495</v>
      </c>
      <c r="F12" s="357">
        <v>0.18</v>
      </c>
      <c r="G12" s="357">
        <v>0.18</v>
      </c>
      <c r="H12" s="357">
        <v>0.18</v>
      </c>
      <c r="I12" s="357" t="s">
        <v>90</v>
      </c>
      <c r="J12" s="357" t="s">
        <v>496</v>
      </c>
      <c r="K12" s="357" t="s">
        <v>489</v>
      </c>
      <c r="L12" s="357" t="s">
        <v>496</v>
      </c>
    </row>
    <row r="13" spans="2:16" ht="15" x14ac:dyDescent="0.2">
      <c r="B13" s="355">
        <v>2</v>
      </c>
      <c r="C13" s="360"/>
      <c r="E13" s="362"/>
      <c r="F13" s="360"/>
      <c r="G13" s="360"/>
      <c r="H13" s="360"/>
      <c r="I13" s="362"/>
      <c r="J13" s="363"/>
      <c r="K13" s="362"/>
      <c r="L13" s="364"/>
    </row>
    <row r="14" spans="2:16" ht="15" x14ac:dyDescent="0.2">
      <c r="B14" s="355"/>
      <c r="C14" s="360" t="s">
        <v>134</v>
      </c>
      <c r="D14" s="215"/>
      <c r="E14" s="365"/>
      <c r="F14" s="360"/>
      <c r="G14" s="357">
        <f>SUM(G12:G13)</f>
        <v>0.18</v>
      </c>
      <c r="H14" s="357">
        <f>SUM(H12:H13)</f>
        <v>0.18</v>
      </c>
      <c r="I14" s="362"/>
      <c r="J14" s="363"/>
      <c r="K14" s="362"/>
      <c r="L14" s="364"/>
    </row>
    <row r="15" spans="2:16" ht="15" x14ac:dyDescent="0.2">
      <c r="B15" s="165"/>
      <c r="C15" s="356" t="s">
        <v>497</v>
      </c>
      <c r="D15" s="215"/>
      <c r="E15" s="215"/>
      <c r="F15" s="215"/>
      <c r="G15" s="215"/>
      <c r="H15" s="215"/>
      <c r="I15" s="215"/>
      <c r="J15" s="215"/>
      <c r="K15" s="215"/>
      <c r="L15" s="215"/>
    </row>
    <row r="16" spans="2:16" ht="300.75" x14ac:dyDescent="0.2">
      <c r="B16" s="355">
        <v>1</v>
      </c>
      <c r="C16" s="360" t="s">
        <v>497</v>
      </c>
      <c r="D16" s="362" t="s">
        <v>124</v>
      </c>
      <c r="E16" s="357" t="s">
        <v>498</v>
      </c>
      <c r="F16" s="360">
        <v>50.65</v>
      </c>
      <c r="G16" s="360">
        <v>20</v>
      </c>
      <c r="H16" s="360">
        <v>25.33</v>
      </c>
      <c r="I16" s="362" t="s">
        <v>499</v>
      </c>
      <c r="J16" s="363" t="s">
        <v>500</v>
      </c>
      <c r="K16" s="362" t="s">
        <v>501</v>
      </c>
      <c r="L16" s="364" t="s">
        <v>502</v>
      </c>
    </row>
    <row r="17" spans="2:12" ht="85.5" x14ac:dyDescent="0.2">
      <c r="B17" s="355">
        <v>2</v>
      </c>
      <c r="C17" s="360" t="s">
        <v>497</v>
      </c>
      <c r="D17" s="5" t="s">
        <v>503</v>
      </c>
      <c r="E17" s="362" t="s">
        <v>504</v>
      </c>
      <c r="F17" s="360">
        <v>6.5</v>
      </c>
      <c r="G17" s="360">
        <v>3.5</v>
      </c>
      <c r="H17" s="360">
        <v>1.75</v>
      </c>
      <c r="I17" s="362" t="s">
        <v>505</v>
      </c>
      <c r="J17" s="363" t="s">
        <v>506</v>
      </c>
      <c r="K17" s="362" t="s">
        <v>507</v>
      </c>
      <c r="L17" s="364" t="s">
        <v>508</v>
      </c>
    </row>
    <row r="18" spans="2:12" ht="15" x14ac:dyDescent="0.2">
      <c r="B18" s="165">
        <v>3</v>
      </c>
      <c r="C18" s="165"/>
      <c r="D18" s="215"/>
      <c r="E18" s="215"/>
      <c r="F18" s="215"/>
      <c r="G18" s="215"/>
      <c r="H18" s="355"/>
      <c r="I18" s="215"/>
      <c r="J18" s="215"/>
      <c r="K18" s="215"/>
      <c r="L18" s="215"/>
    </row>
    <row r="19" spans="2:12" ht="15" x14ac:dyDescent="0.2">
      <c r="B19" s="215"/>
      <c r="C19" s="215" t="s">
        <v>9</v>
      </c>
      <c r="D19" s="215"/>
      <c r="E19" s="215"/>
      <c r="F19" s="215"/>
      <c r="G19" s="215"/>
      <c r="H19" s="355"/>
      <c r="I19" s="215"/>
      <c r="J19" s="215"/>
      <c r="K19" s="215"/>
      <c r="L19" s="215"/>
    </row>
    <row r="20" spans="2:12" ht="15" x14ac:dyDescent="0.2">
      <c r="B20" s="215"/>
      <c r="C20" s="355" t="s">
        <v>134</v>
      </c>
      <c r="D20" s="215"/>
      <c r="E20" s="215"/>
      <c r="F20" s="215"/>
      <c r="G20" s="215"/>
      <c r="H20" s="355">
        <f>SUM(H16:H19)</f>
        <v>27.08</v>
      </c>
      <c r="I20" s="215"/>
      <c r="J20" s="215"/>
      <c r="K20" s="215"/>
      <c r="L20" s="215"/>
    </row>
    <row r="21" spans="2:12" x14ac:dyDescent="0.2">
      <c r="B21" s="63" t="s">
        <v>509</v>
      </c>
      <c r="C21" s="51" t="s">
        <v>510</v>
      </c>
    </row>
  </sheetData>
  <mergeCells count="6">
    <mergeCell ref="B2:I2"/>
    <mergeCell ref="J2:L2"/>
    <mergeCell ref="B3:I3"/>
    <mergeCell ref="J3:L3"/>
    <mergeCell ref="B4:I4"/>
    <mergeCell ref="J4:L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1"/>
  <sheetViews>
    <sheetView showGridLines="0" tabSelected="1" view="pageBreakPreview" zoomScaleSheetLayoutView="100" workbookViewId="0">
      <selection activeCell="F21" sqref="F21"/>
    </sheetView>
  </sheetViews>
  <sheetFormatPr defaultColWidth="9.28515625" defaultRowHeight="14.25" x14ac:dyDescent="0.2"/>
  <cols>
    <col min="1" max="2" width="9.28515625" style="86"/>
    <col min="3" max="3" width="42" style="86" customWidth="1"/>
    <col min="4" max="4" width="16.28515625" style="86" customWidth="1"/>
    <col min="5" max="5" width="12.5703125" style="86" customWidth="1"/>
    <col min="6" max="6" width="16.28515625" style="86" customWidth="1"/>
    <col min="7" max="16384" width="9.28515625" style="86"/>
  </cols>
  <sheetData>
    <row r="2" spans="2:6" ht="14.25" customHeight="1" x14ac:dyDescent="0.2">
      <c r="B2" s="311" t="s">
        <v>383</v>
      </c>
      <c r="C2" s="311"/>
      <c r="D2" s="311"/>
      <c r="E2" s="311"/>
      <c r="F2" s="311"/>
    </row>
    <row r="3" spans="2:6" ht="14.25" customHeight="1" x14ac:dyDescent="0.2">
      <c r="B3" s="311" t="s">
        <v>448</v>
      </c>
      <c r="C3" s="311"/>
      <c r="D3" s="311"/>
      <c r="E3" s="311"/>
      <c r="F3" s="311"/>
    </row>
    <row r="4" spans="2:6" ht="14.25" customHeight="1" x14ac:dyDescent="0.2">
      <c r="B4" s="311" t="s">
        <v>277</v>
      </c>
      <c r="C4" s="311"/>
      <c r="D4" s="311"/>
      <c r="E4" s="311"/>
      <c r="F4" s="311"/>
    </row>
    <row r="6" spans="2:6" ht="15" customHeight="1" x14ac:dyDescent="0.2">
      <c r="B6" s="306" t="s">
        <v>186</v>
      </c>
      <c r="C6" s="318" t="s">
        <v>14</v>
      </c>
      <c r="D6" s="306" t="s">
        <v>384</v>
      </c>
      <c r="E6" s="123" t="s">
        <v>446</v>
      </c>
      <c r="F6" s="15" t="s">
        <v>445</v>
      </c>
    </row>
    <row r="7" spans="2:6" ht="15" x14ac:dyDescent="0.2">
      <c r="B7" s="306"/>
      <c r="C7" s="318"/>
      <c r="D7" s="306"/>
      <c r="E7" s="15" t="s">
        <v>229</v>
      </c>
      <c r="F7" s="15" t="s">
        <v>219</v>
      </c>
    </row>
    <row r="8" spans="2:6" ht="15" x14ac:dyDescent="0.2">
      <c r="B8" s="306"/>
      <c r="C8" s="318"/>
      <c r="D8" s="87" t="s">
        <v>3</v>
      </c>
      <c r="E8" s="15" t="s">
        <v>5</v>
      </c>
      <c r="F8" s="15" t="s">
        <v>8</v>
      </c>
    </row>
    <row r="9" spans="2:6" ht="15" x14ac:dyDescent="0.2">
      <c r="B9" s="88">
        <v>1</v>
      </c>
      <c r="C9" s="28" t="s">
        <v>278</v>
      </c>
      <c r="D9" s="100">
        <f>'F3'!E12</f>
        <v>2.8</v>
      </c>
      <c r="E9" s="100">
        <v>0.18</v>
      </c>
      <c r="F9" s="100">
        <f>'F3'!J12</f>
        <v>27.08</v>
      </c>
    </row>
    <row r="10" spans="2:6" x14ac:dyDescent="0.2">
      <c r="B10" s="28"/>
      <c r="C10" s="28"/>
      <c r="D10" s="96"/>
      <c r="E10" s="96"/>
      <c r="F10" s="96"/>
    </row>
    <row r="11" spans="2:6" ht="15" x14ac:dyDescent="0.2">
      <c r="B11" s="88">
        <v>2</v>
      </c>
      <c r="C11" s="89" t="s">
        <v>180</v>
      </c>
      <c r="D11" s="96"/>
      <c r="E11" s="96"/>
      <c r="F11" s="96"/>
    </row>
    <row r="12" spans="2:6" x14ac:dyDescent="0.2">
      <c r="B12" s="28"/>
      <c r="C12" s="28" t="s">
        <v>185</v>
      </c>
      <c r="D12" s="96"/>
      <c r="E12" s="96"/>
      <c r="F12" s="96"/>
    </row>
    <row r="13" spans="2:6" x14ac:dyDescent="0.2">
      <c r="B13" s="28"/>
      <c r="C13" s="28" t="s">
        <v>184</v>
      </c>
      <c r="D13" s="96"/>
      <c r="E13" s="96"/>
      <c r="F13" s="96"/>
    </row>
    <row r="14" spans="2:6" x14ac:dyDescent="0.2">
      <c r="B14" s="28"/>
      <c r="C14" s="28" t="s">
        <v>9</v>
      </c>
      <c r="D14" s="96"/>
      <c r="E14" s="96"/>
      <c r="F14" s="96"/>
    </row>
    <row r="15" spans="2:6" ht="15" x14ac:dyDescent="0.2">
      <c r="B15" s="28"/>
      <c r="C15" s="89" t="s">
        <v>179</v>
      </c>
      <c r="D15" s="100">
        <f>SUM(D12:D14)</f>
        <v>0</v>
      </c>
      <c r="E15" s="100">
        <f>SUM(E12:E14)</f>
        <v>0</v>
      </c>
      <c r="F15" s="100">
        <f>SUM(F12:F14)</f>
        <v>0</v>
      </c>
    </row>
    <row r="16" spans="2:6" x14ac:dyDescent="0.2">
      <c r="B16" s="28"/>
      <c r="C16" s="28"/>
      <c r="D16" s="96"/>
      <c r="E16" s="96"/>
      <c r="F16" s="96"/>
    </row>
    <row r="17" spans="2:6" x14ac:dyDescent="0.2">
      <c r="B17" s="88">
        <v>3</v>
      </c>
      <c r="C17" s="28" t="s">
        <v>0</v>
      </c>
      <c r="D17" s="96"/>
      <c r="E17" s="96"/>
      <c r="F17" s="96"/>
    </row>
    <row r="18" spans="2:6" x14ac:dyDescent="0.2">
      <c r="B18" s="88">
        <v>4</v>
      </c>
      <c r="C18" s="28" t="s">
        <v>181</v>
      </c>
      <c r="D18" s="96">
        <f>D9</f>
        <v>2.8</v>
      </c>
      <c r="E18" s="96">
        <v>0.18</v>
      </c>
      <c r="F18" s="96">
        <f>F9</f>
        <v>27.08</v>
      </c>
    </row>
    <row r="19" spans="2:6" x14ac:dyDescent="0.2">
      <c r="B19" s="88">
        <v>5</v>
      </c>
      <c r="C19" s="28" t="s">
        <v>279</v>
      </c>
      <c r="D19" s="96"/>
      <c r="E19" s="96"/>
      <c r="F19" s="96"/>
    </row>
    <row r="20" spans="2:6" ht="15" x14ac:dyDescent="0.2">
      <c r="B20" s="28"/>
      <c r="C20" s="28"/>
      <c r="D20" s="98"/>
      <c r="E20" s="98"/>
      <c r="F20" s="98"/>
    </row>
    <row r="21" spans="2:6" ht="15" x14ac:dyDescent="0.2">
      <c r="B21" s="88">
        <v>6</v>
      </c>
      <c r="C21" s="89" t="s">
        <v>280</v>
      </c>
      <c r="D21" s="100">
        <f>D15+D17+D18+D19</f>
        <v>2.8</v>
      </c>
      <c r="E21" s="100">
        <f>SUM(E18:E20)</f>
        <v>0.18</v>
      </c>
      <c r="F21" s="100">
        <f>F15+F17+F18+F19</f>
        <v>27.08</v>
      </c>
    </row>
  </sheetData>
  <mergeCells count="6">
    <mergeCell ref="D6:D7"/>
    <mergeCell ref="B6:B8"/>
    <mergeCell ref="C6:C8"/>
    <mergeCell ref="B2:F2"/>
    <mergeCell ref="B3:F3"/>
    <mergeCell ref="B4:F4"/>
  </mergeCells>
  <pageMargins left="0.7" right="0.7" top="0.75" bottom="0.75" header="0.3" footer="0.3"/>
  <pageSetup paperSize="9" scale="11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vt:i4>
      </vt:variant>
    </vt:vector>
  </HeadingPairs>
  <TitlesOfParts>
    <vt:vector size="23" baseType="lpstr">
      <vt:lpstr>Checklist</vt:lpstr>
      <vt:lpstr>F1</vt:lpstr>
      <vt:lpstr>F2</vt:lpstr>
      <vt:lpstr>F2.1</vt:lpstr>
      <vt:lpstr>F2.2</vt:lpstr>
      <vt:lpstr>F2.3</vt:lpstr>
      <vt:lpstr>F3</vt:lpstr>
      <vt:lpstr>F3.1</vt:lpstr>
      <vt:lpstr>F3.2</vt:lpstr>
      <vt:lpstr>F4</vt:lpstr>
      <vt:lpstr>F5</vt:lpstr>
      <vt:lpstr>F6</vt:lpstr>
      <vt:lpstr>F7</vt:lpstr>
      <vt:lpstr>F8</vt:lpstr>
      <vt:lpstr>F9</vt:lpstr>
      <vt:lpstr>F10</vt:lpstr>
      <vt:lpstr>F11</vt:lpstr>
      <vt:lpstr>F11.1</vt:lpstr>
      <vt:lpstr>F12</vt:lpstr>
      <vt:lpstr>F13</vt:lpstr>
      <vt:lpstr>F15</vt:lpstr>
      <vt:lpstr>Checklist!Print_Area</vt:lpstr>
      <vt:lpstr>'F7'!Print_Area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AE COMMERCIAL</cp:lastModifiedBy>
  <cp:lastPrinted>2025-11-28T14:44:15Z</cp:lastPrinted>
  <dcterms:created xsi:type="dcterms:W3CDTF">2004-07-28T05:30:50Z</dcterms:created>
  <dcterms:modified xsi:type="dcterms:W3CDTF">2025-12-16T10:29:34Z</dcterms:modified>
</cp:coreProperties>
</file>